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firstSheet="2" activeTab="9"/>
  </bookViews>
  <sheets>
    <sheet name="RYTTERDATA" sheetId="30" r:id="rId1"/>
    <sheet name="Etape 1 Udreg." sheetId="9" r:id="rId2"/>
    <sheet name="Etape 2 Udreg." sheetId="40" r:id="rId3"/>
    <sheet name="Etape 3 Udreg. " sheetId="42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r:id="rId8"/>
    <sheet name="Manuel udreg. v. mgl. EPK+Mål" sheetId="35" r:id="rId9"/>
    <sheet name="POR hele udreg." sheetId="1" r:id="rId10"/>
    <sheet name="PTV Udreg." sheetId="17" r:id="rId11"/>
    <sheet name="PTV Forhindringer" sheetId="38" state="hidden" r:id="rId12"/>
    <sheet name="MA udregning 75 m" sheetId="19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6" i="19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5"/>
  <c r="H7" i="46" l="1"/>
  <c r="H6"/>
  <c r="H8" l="1"/>
  <c r="H9"/>
  <c r="L6" i="19" l="1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A10"/>
  <c r="B10" s="1"/>
  <c r="A11"/>
  <c r="B11" s="1"/>
  <c r="A12"/>
  <c r="B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L15"/>
  <c r="L18"/>
  <c r="K30"/>
  <c r="J15"/>
  <c r="I20"/>
  <c r="H15"/>
  <c r="H20"/>
  <c r="H22"/>
  <c r="H31"/>
  <c r="G18"/>
  <c r="F15"/>
  <c r="F30"/>
  <c r="E33"/>
  <c r="E34"/>
  <c r="D15"/>
  <c r="D23"/>
  <c r="G5" i="9"/>
  <c r="D14" i="1" l="1"/>
  <c r="E14"/>
  <c r="G34"/>
  <c r="H26"/>
  <c r="I34"/>
  <c r="L34"/>
  <c r="M14"/>
  <c r="D34"/>
  <c r="E30"/>
  <c r="H30"/>
  <c r="J26"/>
  <c r="K14"/>
  <c r="M26"/>
  <c r="D18"/>
  <c r="F26"/>
  <c r="I18"/>
  <c r="K22"/>
  <c r="G33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7" i="28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J5" s="1"/>
  <c r="B6"/>
  <c r="J6" s="1"/>
  <c r="B7"/>
  <c r="J7" s="1"/>
  <c r="B8"/>
  <c r="J8" s="1"/>
  <c r="B9"/>
  <c r="B10"/>
  <c r="B11"/>
  <c r="J11" s="1"/>
  <c r="B12"/>
  <c r="B13"/>
  <c r="J13" s="1"/>
  <c r="B14"/>
  <c r="J14" s="1"/>
  <c r="B15"/>
  <c r="J15" s="1"/>
  <c r="B16"/>
  <c r="J16" s="1"/>
  <c r="B17"/>
  <c r="J17" s="1"/>
  <c r="B18"/>
  <c r="J18" s="1"/>
  <c r="B19"/>
  <c r="J19" s="1"/>
  <c r="B20"/>
  <c r="J20" s="1"/>
  <c r="B21"/>
  <c r="J21" s="1"/>
  <c r="B22"/>
  <c r="J22" s="1"/>
  <c r="B23"/>
  <c r="J23" s="1"/>
  <c r="B24"/>
  <c r="J24" s="1"/>
  <c r="B25"/>
  <c r="J25" s="1"/>
  <c r="B26"/>
  <c r="J26" s="1"/>
  <c r="B27"/>
  <c r="J27" s="1"/>
  <c r="B28"/>
  <c r="J28" s="1"/>
  <c r="B29"/>
  <c r="J29" s="1"/>
  <c r="B30"/>
  <c r="J30" s="1"/>
  <c r="B31"/>
  <c r="J31" s="1"/>
  <c r="B32"/>
  <c r="J32" s="1"/>
  <c r="B33"/>
  <c r="J33" s="1"/>
  <c r="B4"/>
  <c r="J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M13" s="1"/>
  <c r="B14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M18" s="1"/>
  <c r="B17"/>
  <c r="M17" s="1"/>
  <c r="B16"/>
  <c r="M16" s="1"/>
  <c r="B15"/>
  <c r="M15" s="1"/>
  <c r="B14"/>
  <c r="M14" s="1"/>
  <c r="B13"/>
  <c r="M13" s="1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3" i="1" l="1"/>
  <c r="J12" i="13"/>
  <c r="J10" i="1"/>
  <c r="J9" i="13"/>
  <c r="J11" i="1"/>
  <c r="J10" i="13"/>
  <c r="J12" i="1"/>
  <c r="J7"/>
  <c r="J9"/>
  <c r="J8"/>
  <c r="AC36" i="17"/>
  <c r="AC28"/>
  <c r="AC20"/>
  <c r="AC31"/>
  <c r="AC23"/>
  <c r="AC34"/>
  <c r="AC30"/>
  <c r="AC26"/>
  <c r="AC22"/>
  <c r="AC18"/>
  <c r="AC32"/>
  <c r="AC24"/>
  <c r="AC35"/>
  <c r="AC27"/>
  <c r="AC19"/>
  <c r="AC37"/>
  <c r="AC33"/>
  <c r="AC29"/>
  <c r="AC25"/>
  <c r="AC21"/>
  <c r="AC17"/>
  <c r="AB36"/>
  <c r="AE36" s="1"/>
  <c r="AB28"/>
  <c r="AE28" s="1"/>
  <c r="AB20"/>
  <c r="AB35"/>
  <c r="AE35" s="1"/>
  <c r="AB31"/>
  <c r="AE31" s="1"/>
  <c r="AB27"/>
  <c r="AB23"/>
  <c r="AE23" s="1"/>
  <c r="AB19"/>
  <c r="AB15"/>
  <c r="AB11"/>
  <c r="AB34"/>
  <c r="AB30"/>
  <c r="AB26"/>
  <c r="AE26" s="1"/>
  <c r="AB22"/>
  <c r="AE22" s="1"/>
  <c r="AB18"/>
  <c r="AB14"/>
  <c r="AB10"/>
  <c r="AB32"/>
  <c r="AB24"/>
  <c r="AE24" s="1"/>
  <c r="AB16"/>
  <c r="AB37"/>
  <c r="AE37" s="1"/>
  <c r="AB33"/>
  <c r="AE33" s="1"/>
  <c r="AB29"/>
  <c r="AB25"/>
  <c r="AB21"/>
  <c r="AB17"/>
  <c r="AE17" s="1"/>
  <c r="AB13"/>
  <c r="AB9"/>
  <c r="AB12"/>
  <c r="AE30" l="1"/>
  <c r="AE19"/>
  <c r="AE29"/>
  <c r="AE32"/>
  <c r="AE27"/>
  <c r="AE25"/>
  <c r="AE34"/>
  <c r="AE21"/>
  <c r="AE18"/>
  <c r="AE20"/>
  <c r="G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G7" i="19"/>
  <c r="G8"/>
  <c r="G9"/>
  <c r="G10"/>
  <c r="N10" s="1"/>
  <c r="G11"/>
  <c r="G12"/>
  <c r="N12" s="1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L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N11"/>
  <c r="N13"/>
  <c r="B23"/>
  <c r="N23" s="1"/>
  <c r="B24"/>
  <c r="N24" s="1"/>
  <c r="B25"/>
  <c r="N25" s="1"/>
  <c r="B26"/>
  <c r="N26" s="1"/>
  <c r="B27"/>
  <c r="N27" s="1"/>
  <c r="B28"/>
  <c r="N28" s="1"/>
  <c r="B29"/>
  <c r="N29" s="1"/>
  <c r="B30"/>
  <c r="N30" s="1"/>
  <c r="B31"/>
  <c r="N31" s="1"/>
  <c r="B32"/>
  <c r="N32" s="1"/>
  <c r="B33"/>
  <c r="N33" s="1"/>
  <c r="B34"/>
  <c r="N34" s="1"/>
  <c r="F11" i="9"/>
  <c r="F28"/>
  <c r="F16"/>
  <c r="F17"/>
  <c r="F18"/>
  <c r="F19"/>
  <c r="F20"/>
  <c r="F21"/>
  <c r="F23"/>
  <c r="F24"/>
  <c r="F27"/>
  <c r="F30"/>
  <c r="F32"/>
  <c r="F36"/>
  <c r="F40"/>
  <c r="B14" i="19"/>
  <c r="N14" s="1"/>
  <c r="B15"/>
  <c r="N15" s="1"/>
  <c r="B16"/>
  <c r="N16" s="1"/>
  <c r="B17"/>
  <c r="N17" s="1"/>
  <c r="B18"/>
  <c r="N18" s="1"/>
  <c r="B19"/>
  <c r="N19" s="1"/>
  <c r="B20"/>
  <c r="N20" s="1"/>
  <c r="B21"/>
  <c r="N21" s="1"/>
  <c r="B22"/>
  <c r="N22" s="1"/>
  <c r="F12" i="9"/>
  <c r="F3" i="17"/>
  <c r="G3" s="1"/>
  <c r="H3" s="1"/>
  <c r="H5" s="1"/>
  <c r="H5" i="9"/>
  <c r="I5" s="1"/>
  <c r="N6" i="19" l="1"/>
  <c r="K12" i="1"/>
  <c r="J10" i="46"/>
  <c r="J12"/>
  <c r="F12" i="28" s="1"/>
  <c r="J11" i="46"/>
  <c r="J9"/>
  <c r="J8"/>
  <c r="J6"/>
  <c r="F13" i="28" s="1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G14"/>
  <c r="H14" s="1"/>
  <c r="F8" i="1" s="1"/>
  <c r="G17" i="42"/>
  <c r="H17" s="1"/>
  <c r="F11" i="1" s="1"/>
  <c r="G20" i="42"/>
  <c r="H20" s="1"/>
  <c r="G23"/>
  <c r="H23" s="1"/>
  <c r="G26"/>
  <c r="H26" s="1"/>
  <c r="G32"/>
  <c r="H32" s="1"/>
  <c r="G35"/>
  <c r="H35" s="1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N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G16"/>
  <c r="G19"/>
  <c r="H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N5" i="19"/>
  <c r="N9"/>
  <c r="N8"/>
  <c r="J5" i="47"/>
  <c r="J6"/>
  <c r="H6" i="17"/>
  <c r="F8"/>
  <c r="G8" s="1"/>
  <c r="H8" s="1"/>
  <c r="AC8" s="1"/>
  <c r="AE8" s="1"/>
  <c r="G5" i="2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39" i="42"/>
  <c r="H22"/>
  <c r="H30"/>
  <c r="H11" i="40"/>
  <c r="H16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H12" i="45"/>
  <c r="I6" i="1" s="1"/>
  <c r="F34" i="9"/>
  <c r="F14"/>
  <c r="F38"/>
  <c r="F26"/>
  <c r="F22"/>
  <c r="F39"/>
  <c r="F37"/>
  <c r="F31"/>
  <c r="F29"/>
  <c r="F25"/>
  <c r="F15"/>
  <c r="F35"/>
  <c r="F33"/>
  <c r="F13"/>
  <c r="F6" i="1" l="1"/>
  <c r="M12" i="42"/>
  <c r="M11"/>
  <c r="F5" i="1" s="1"/>
  <c r="M12" i="40"/>
  <c r="E6" i="1" s="1"/>
  <c r="E5"/>
  <c r="M11" i="40"/>
  <c r="F25" i="28"/>
  <c r="F10"/>
  <c r="F11"/>
  <c r="F30"/>
  <c r="F18"/>
  <c r="F21"/>
  <c r="F24"/>
  <c r="F28"/>
  <c r="F26"/>
  <c r="F23"/>
  <c r="F34"/>
  <c r="F14"/>
  <c r="F15"/>
  <c r="F17"/>
  <c r="F16"/>
  <c r="F31"/>
  <c r="F27"/>
  <c r="F19"/>
  <c r="F22"/>
  <c r="F29"/>
  <c r="F32"/>
  <c r="F33"/>
  <c r="F20"/>
  <c r="J25"/>
  <c r="F12" i="1"/>
  <c r="H16" i="42"/>
  <c r="F10" i="1" s="1"/>
  <c r="F9" i="28"/>
  <c r="F7"/>
  <c r="F8"/>
  <c r="J29" l="1"/>
  <c r="J28"/>
  <c r="J30"/>
  <c r="J20"/>
  <c r="J22"/>
  <c r="J34"/>
  <c r="J24"/>
  <c r="J19"/>
  <c r="J23"/>
  <c r="J31"/>
  <c r="J33"/>
  <c r="J32"/>
  <c r="J27"/>
  <c r="J26"/>
  <c r="J2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AC10" l="1"/>
  <c r="AE10" s="1"/>
  <c r="AC13"/>
  <c r="AE13" s="1"/>
  <c r="H12"/>
  <c r="H11"/>
  <c r="F9"/>
  <c r="AC11" l="1"/>
  <c r="AE11" s="1"/>
  <c r="AC12"/>
  <c r="AE12" s="1"/>
  <c r="G9"/>
  <c r="H9" s="1"/>
  <c r="AC9" l="1"/>
  <c r="AE9" s="1"/>
  <c r="G16" i="28" s="1"/>
  <c r="G15" l="1"/>
  <c r="G8"/>
  <c r="G13"/>
  <c r="G22"/>
  <c r="K22" s="1"/>
  <c r="G28"/>
  <c r="K28" s="1"/>
  <c r="G20"/>
  <c r="K20" s="1"/>
  <c r="G33"/>
  <c r="K33" s="1"/>
  <c r="G26"/>
  <c r="K26" s="1"/>
  <c r="G27"/>
  <c r="K27" s="1"/>
  <c r="G19"/>
  <c r="K19" s="1"/>
  <c r="G23"/>
  <c r="K23" s="1"/>
  <c r="G30"/>
  <c r="K30" s="1"/>
  <c r="G34"/>
  <c r="K34" s="1"/>
  <c r="G32"/>
  <c r="K32" s="1"/>
  <c r="G24"/>
  <c r="K24" s="1"/>
  <c r="G29"/>
  <c r="K29" s="1"/>
  <c r="G31"/>
  <c r="K31" s="1"/>
  <c r="G25"/>
  <c r="K25" s="1"/>
  <c r="G12"/>
  <c r="G21"/>
  <c r="G11"/>
  <c r="G18"/>
  <c r="G17"/>
  <c r="G7"/>
  <c r="G14"/>
  <c r="G10"/>
  <c r="G9"/>
  <c r="G6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G15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G14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D6" i="1" l="1"/>
  <c r="H6" i="28" s="1"/>
  <c r="M12" i="9"/>
  <c r="M11"/>
  <c r="D5" i="1" s="1"/>
  <c r="E29" i="28"/>
  <c r="E26"/>
  <c r="E27"/>
  <c r="E19"/>
  <c r="E22"/>
  <c r="E34"/>
  <c r="E24"/>
  <c r="E30"/>
  <c r="E25"/>
  <c r="E28"/>
  <c r="E20"/>
  <c r="E32"/>
  <c r="E33"/>
  <c r="E31"/>
  <c r="E23"/>
  <c r="E9"/>
  <c r="E16"/>
  <c r="E8"/>
  <c r="E15"/>
  <c r="E7"/>
  <c r="E14"/>
  <c r="E13"/>
  <c r="H18" i="9"/>
  <c r="M18" s="1"/>
  <c r="D12" i="1" s="1"/>
  <c r="M12" s="1"/>
  <c r="D11"/>
  <c r="M11" s="1"/>
  <c r="D10"/>
  <c r="M10" s="1"/>
  <c r="H23" i="28" l="1"/>
  <c r="L23" s="1"/>
  <c r="H24"/>
  <c r="L24" s="1"/>
  <c r="H27"/>
  <c r="L27" s="1"/>
  <c r="H13"/>
  <c r="H8"/>
  <c r="H31"/>
  <c r="L31" s="1"/>
  <c r="H28"/>
  <c r="L28" s="1"/>
  <c r="H34"/>
  <c r="L34" s="1"/>
  <c r="H26"/>
  <c r="L26" s="1"/>
  <c r="H33"/>
  <c r="L33" s="1"/>
  <c r="H25"/>
  <c r="L25" s="1"/>
  <c r="H22"/>
  <c r="L22" s="1"/>
  <c r="H29"/>
  <c r="L29" s="1"/>
  <c r="H20"/>
  <c r="L20" s="1"/>
  <c r="H7"/>
  <c r="H9"/>
  <c r="H32"/>
  <c r="L32" s="1"/>
  <c r="H30"/>
  <c r="L30" s="1"/>
  <c r="H19"/>
  <c r="L19" s="1"/>
  <c r="E12"/>
  <c r="E21"/>
  <c r="E11"/>
  <c r="E18"/>
  <c r="E10"/>
  <c r="E17"/>
  <c r="H16"/>
  <c r="H15"/>
  <c r="H14"/>
  <c r="H5"/>
  <c r="I17" l="1"/>
  <c r="I21"/>
  <c r="H10"/>
  <c r="I10"/>
  <c r="H12"/>
  <c r="I12"/>
  <c r="I9"/>
  <c r="I14"/>
  <c r="I29"/>
  <c r="I25"/>
  <c r="I8"/>
  <c r="I16"/>
  <c r="I24"/>
  <c r="I30"/>
  <c r="I26"/>
  <c r="I28"/>
  <c r="I27"/>
  <c r="I23"/>
  <c r="I32"/>
  <c r="I18"/>
  <c r="I6"/>
  <c r="H11"/>
  <c r="I11"/>
  <c r="I19"/>
  <c r="I7"/>
  <c r="I20"/>
  <c r="I22"/>
  <c r="I33"/>
  <c r="I34"/>
  <c r="I31"/>
  <c r="I13"/>
  <c r="I15"/>
  <c r="I5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<sst xmlns="http://schemas.openxmlformats.org/spreadsheetml/2006/main" count="579" uniqueCount="206">
  <si>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</si>
  <si>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</si>
  <si>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</si>
  <si>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</si>
  <si>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</si>
  <si>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</si>
  <si>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</si>
  <si>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</si>
  <si>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</si>
  <si>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</si>
  <si>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</si>
  <si>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</si>
  <si>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</si>
  <si>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</si>
  <si>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</si>
  <si>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</si>
  <si>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</si>
  <si>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</si>
  <si>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</si>
  <si>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</si>
  <si>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</si>
  <si>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</si>
  <si>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</si>
  <si>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</si>
  <si>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</si>
  <si>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</si>
  <si>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</si>
  <si>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</si>
  <si>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</si>
  <si>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</si>
  <si>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</si>
  <si>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</si>
  <si>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</si>
  <si>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</si>
  <si>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</si>
  <si>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</si>
  <si>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</si>
  <si>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</si>
  <si>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</si>
  <si>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</si>
  <si>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</si>
  <si>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</si>
  <si>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</si>
  <si>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</si>
  <si>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</si>
  <si>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</si>
  <si>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</si>
  <si>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</si>
  <si>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</si>
  <si>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</si>
  <si>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</si>
  <si>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</si>
  <si>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</si>
  <si>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</si>
  <si>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</si>
  <si>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</si>
  <si>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</si>
  <si>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</si>
  <si>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</si>
  <si>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</si>
  <si>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</si>
  <si>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</si>
  <si>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</si>
  <si>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</si>
  <si>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</si>
  <si>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</si>
  <si>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</si>
  <si>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</si>
  <si>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</si>
  <si>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</si>
  <si>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</si>
  <si>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</si>
  <si>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</si>
  <si>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</si>
  <si>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</si>
  <si>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</si>
  <si>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</si>
  <si>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</si>
  <si>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</si>
  <si>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</si>
  <si>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</si>
  <si>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</si>
  <si>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</si>
  <si>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</si>
  <si>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</si>
  <si>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</si>
  <si>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</si>
  <si>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</si>
  <si>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</si>
  <si>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</si>
  <si>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</si>
  <si>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</si>
  <si>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</si>
  <si>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</si>
  <si>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</si>
  <si>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</si>
  <si>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</si>
  <si>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</si>
  <si>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</si>
  <si>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</si>
  <si>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</si>
  <si>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</si>
  <si>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</si>
  <si>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</si>
  <si>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</si>
  <si>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</si>
  <si>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</si>
  <si>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</si>
  <si>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</si>
  <si>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</si>
  <si>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</si>
  <si>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</si>
  <si>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</si>
  <si>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</si>
  <si>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</si>
  <si>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</si>
  <si>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</si>
  <si>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</si>
  <si>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</si>
  <si>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</si>
  <si>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</si>
  <si>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</si>
  <si>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</si>
  <si>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</si>
  <si>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</si>
  <si>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</si>
  <si>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</si>
  <si>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</si>
  <si>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</si>
  <si>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</si>
  <si>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</si>
  <si>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</si>
  <si>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</si>
  <si>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</si>
  <si>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</si>
  <si>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</si>
  <si>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</si>
  <si>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</si>
  <si>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</si>
  <si>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</si>
  <si>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</si>
  <si>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</si>
  <si>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</si>
  <si>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</si>
  <si>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</si>
  <si>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</si>
  <si>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</si>
  <si>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</si>
  <si>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</si>
  <si>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</si>
  <si>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</si>
  <si>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</si>
  <si>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</si>
  <si>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</si>
  <si>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</si>
  <si>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</si>
  <si>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</si>
  <si>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</si>
  <si>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</si>
  <si>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</si>
  <si>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</si>
  <si>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</si>
  <si>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</si>
  <si>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</si>
  <si>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</si>
  <si>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</si>
  <si>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</si>
  <si>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</si>
  <si>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</si>
  <si>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</si>
  <si>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</si>
  <si>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</si>
  <si>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</si>
  <si>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</si>
  <si>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</si>
  <si>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</si>
  <si>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</si>
  <si>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</si>
  <si>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</si>
  <si>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</si>
  <si>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</si>
  <si>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</si>
  <si>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</si>
  <si>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</si>
  <si>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</si>
  <si>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</si>
  <si>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VASK</t>
  </si>
  <si>
    <t>KLIK</t>
  </si>
  <si>
    <t>6/10 2018</t>
  </si>
  <si>
    <t>TREC</t>
  </si>
  <si>
    <t>Etape 1</t>
  </si>
  <si>
    <t>T0 par</t>
  </si>
  <si>
    <t>Sira</t>
  </si>
  <si>
    <t>Kutar</t>
  </si>
  <si>
    <t>Heidi Hedegård</t>
  </si>
  <si>
    <t>Emilie Steinmejer</t>
  </si>
  <si>
    <t>Tidtager 1</t>
  </si>
  <si>
    <t>Tidtager 2</t>
  </si>
  <si>
    <t>PP1</t>
  </si>
  <si>
    <t>PP2</t>
  </si>
  <si>
    <t>PP3</t>
  </si>
  <si>
    <t>PP4</t>
  </si>
  <si>
    <t>PP5</t>
  </si>
  <si>
    <t>G</t>
  </si>
  <si>
    <t>T</t>
  </si>
  <si>
    <t>S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</si>
</sst>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7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0" fillId="0" borderId="0" xfId="0"/>
    <xf numFmtId="0" fontId="4" fillId="0" borderId="1" xfId="1" applyFont="1" applyFill="1" applyBorder="1"/>
    <xf numFmtId="2" fontId="27" fillId="10" borderId="4" xfId="0" applyNumberFormat="1" applyFont="1" applyFill="1" applyBorder="1" applyAlignment="1">
      <alignment horizontal="center" vertical="center" wrapText="1"/>
    </xf>
    <xf numFmtId="2" fontId="31" fillId="0" borderId="0" xfId="0" applyNumberFormat="1" applyFont="1"/>
    <xf numFmtId="0" fontId="0" fillId="0" borderId="0" xfId="0"/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D7" sqref="D7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301" t="s">
        <v>101</v>
      </c>
      <c r="B1" s="302"/>
      <c r="C1" s="302"/>
      <c r="D1" s="302"/>
      <c r="E1" s="302"/>
      <c r="F1" s="302"/>
      <c r="G1" s="302"/>
      <c r="H1" s="302"/>
      <c r="I1" s="302"/>
      <c r="J1" s="303"/>
      <c r="K1" s="5"/>
    </row>
    <row r="2" spans="1:17" s="204" customFormat="1" ht="15.75">
      <c r="A2" s="196"/>
      <c r="B2" s="197" t="s">
        <v>102</v>
      </c>
      <c r="C2" s="198" t="s">
        <v>187</v>
      </c>
      <c r="D2" s="199" t="s">
        <v>66</v>
      </c>
      <c r="E2" s="304" t="s">
        <v>188</v>
      </c>
      <c r="F2" s="304"/>
      <c r="G2" s="200" t="s">
        <v>65</v>
      </c>
      <c r="H2" s="201" t="s">
        <v>191</v>
      </c>
      <c r="I2" s="202" t="s">
        <v>103</v>
      </c>
      <c r="J2" s="203" t="s">
        <v>189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10</v>
      </c>
      <c r="B5" s="287" t="s">
        <v>194</v>
      </c>
      <c r="C5" s="288" t="s">
        <v>192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11</v>
      </c>
      <c r="B6" s="287" t="s">
        <v>195</v>
      </c>
      <c r="C6" s="288" t="s">
        <v>193</v>
      </c>
      <c r="D6" s="185" t="s">
        <v>186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0</v>
      </c>
      <c r="B7" s="287"/>
      <c r="C7" s="288"/>
      <c r="D7" s="185"/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0</v>
      </c>
      <c r="B8" s="287"/>
      <c r="C8" s="288"/>
      <c r="D8" s="185"/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tabSelected="1" workbookViewId="0">
      <selection activeCell="M9" sqref="M9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5" t="s">
        <v>37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217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7"/>
      <c r="Q2" s="317"/>
      <c r="R2" s="317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10</v>
      </c>
      <c r="B5" s="115" t="str">
        <f>RYTTERDATA!B5</f>
        <v>Heidi Hedegård</v>
      </c>
      <c r="C5" s="246">
        <f>IF(B5&lt;&gt;0,(240),"")</f>
        <v>240</v>
      </c>
      <c r="D5" s="24">
        <f>IF(B5&lt;&gt;0,((VLOOKUP(A5,'Etape 1 Udreg.'!$A$11:$M$40,13,FALSE)*-1)),"")</f>
        <v>-6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v>30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v>204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11</v>
      </c>
      <c r="B6" s="115" t="str">
        <f>RYTTERDATA!B6</f>
        <v>Emilie Steinmejer</v>
      </c>
      <c r="C6" s="246">
        <f t="shared" ref="C6:C34" si="0">IF(B6&lt;&gt;0,(240),"")</f>
        <v>240</v>
      </c>
      <c r="D6" s="24">
        <f>IF(B6&lt;&gt;0,((VLOOKUP(A6,'Etape 1 Udreg.'!$A$11:$M$40,13,FALSE)*-1)),"")</f>
        <v>-6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v>30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>
        <v>204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0</v>
      </c>
      <c r="B7" s="115">
        <f>RYTTERDATA!B7</f>
        <v>0</v>
      </c>
      <c r="C7" s="246" t="str">
        <f t="shared" si="0"/>
        <v/>
      </c>
      <c r="D7" s="24" t="str">
        <f>IF(B7&lt;&gt;0,((VLOOKUP(A7,'Etape 1 Udreg.'!$A$11:$M$40,13,FALSE)*-1)),"")</f>
        <v/>
      </c>
      <c r="E7" s="52" t="str">
        <f>IF(B7&lt;&gt;0,(VLOOKUP(A7,'Etape 2 Udreg.'!$A$10:$M$40,13,FALSE)*-1),"")</f>
        <v/>
      </c>
      <c r="F7" s="24" t="str">
        <f>IF(B7&lt;&gt;0,(VLOOKUP(A7,'Etape 3 Udreg. '!$A$10:$M$40,13,FALSE)*-1),"")</f>
        <v/>
      </c>
      <c r="G7" s="24" t="str">
        <f>IF(B7&lt;&gt;0,((VLOOKUP(A7,'Etape 4 Udreg. '!$A$10:$M$40,13,FALSE)*-1)),"")</f>
        <v/>
      </c>
      <c r="H7" s="24" t="str">
        <f>IF(B7&lt;&gt;0,(VLOOKUP(A7,'Etape 5 Udreg. '!$A$10:$M$40,13,FALSE)*-1),"")</f>
        <v/>
      </c>
      <c r="I7" s="24" t="str">
        <f>IF(B7&lt;&gt;0,(VLOOKUP(A7,'Etape 6 Udreg. '!$A$10:$M$40,13,FALSE)*-1),"")</f>
        <v/>
      </c>
      <c r="J7" s="24" t="str">
        <f>IF(B7&lt;&gt;0,(VLOOKUP(A7,'PP &amp; Udstyrskontrol undervejs'!$A$3:$J$33,9,FALSE)*-1),"")</f>
        <v/>
      </c>
      <c r="K7" s="52" t="str">
        <f>IF(B7&lt;&gt;0,(VLOOKUP(A7,'Manuel udreg. v. mgl. EPK+Mål'!$A$4:$M$34,13,FALSE)*-1),"")</f>
        <v/>
      </c>
      <c r="L7" s="238" t="str">
        <f>IF(B7&lt;&gt;0,(IF(RYTTERDATA!F7="x","25",0)*-1),"")</f>
        <v/>
      </c>
      <c r="M7" s="19" t="str">
        <f t="shared" ref="M6:M34" si="1">IF(B7&lt;&gt;0,(+C7+SUM(D7:L7)),"")</f>
        <v/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0</v>
      </c>
      <c r="B8" s="115">
        <f>RYTTERDATA!B8</f>
        <v>0</v>
      </c>
      <c r="C8" s="246" t="str">
        <f t="shared" si="0"/>
        <v/>
      </c>
      <c r="D8" s="24" t="str">
        <f>IF(B8&lt;&gt;0,((VLOOKUP(A8,'Etape 1 Udreg.'!$A$11:$M$40,13,FALSE)*-1)),"")</f>
        <v/>
      </c>
      <c r="E8" s="52" t="str">
        <f>IF(B8&lt;&gt;0,(VLOOKUP(A8,'Etape 2 Udreg.'!$A$10:$M$40,13,FALSE)*-1),"")</f>
        <v/>
      </c>
      <c r="F8" s="24" t="str">
        <f>IF(B8&lt;&gt;0,(VLOOKUP(A8,'Etape 3 Udreg. '!$A$10:$M$40,13,FALSE)*-1),"")</f>
        <v/>
      </c>
      <c r="G8" s="24" t="str">
        <f>IF(B8&lt;&gt;0,((VLOOKUP(A8,'Etape 4 Udreg. '!$A$10:$M$40,13,FALSE)*-1)),"")</f>
        <v/>
      </c>
      <c r="H8" s="24" t="str">
        <f>IF(B8&lt;&gt;0,(VLOOKUP(A8,'Etape 5 Udreg. '!$A$10:$M$40,13,FALSE)*-1),"")</f>
        <v/>
      </c>
      <c r="I8" s="24" t="str">
        <f>IF(B8&lt;&gt;0,(VLOOKUP(A8,'Etape 6 Udreg. '!$A$10:$M$40,13,FALSE)*-1),"")</f>
        <v/>
      </c>
      <c r="J8" s="24" t="str">
        <f>IF(B8&lt;&gt;0,(VLOOKUP(A8,'PP &amp; Udstyrskontrol undervejs'!$A$3:$J$33,9,FALSE)*-1),"")</f>
        <v/>
      </c>
      <c r="K8" s="52" t="str">
        <f>IF(B8&lt;&gt;0,(VLOOKUP(A8,'Manuel udreg. v. mgl. EPK+Mål'!$A$4:$M$34,13,FALSE)*-1),"")</f>
        <v/>
      </c>
      <c r="L8" s="238" t="str">
        <f>IF(B8&lt;&gt;0,(IF(RYTTERDATA!F8="x","25",0)*-1),"")</f>
        <v/>
      </c>
      <c r="M8" s="19" t="str">
        <f t="shared" si="1"/>
        <v/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undervejs'!$A$3:$J$33,9,FALSE)*-1),"")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undervejs'!$A$3:$J$33,9,FALSE)*-1),"")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undervejs'!$A$3:$J$33,9,FALSE)*-1),"")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>IF(B11&lt;&gt;0,(+C11+SUM(D11:L11)),"")</f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undervejs'!$A$3:$J$33,9,FALSE)*-1),"")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>IF(B12&lt;&gt;0,(+C12+SUM(D12:L12)),"")</f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undervejs'!$A$3:$J$33,9,FALSE)*-1),"")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undervejs'!$A$3:$J$33,9,FALSE)*-1),"")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undervejs'!$A$3:$J$33,9,FALSE)*-1),"")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undervejs'!$A$3:$J$33,9,FALSE)*-1),"")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undervejs'!$A$3:$J$33,9,FALSE)*-1),"")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undervejs'!$A$3:$J$33,9,FALSE)*-1),"")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undervejs'!$A$3:$J$33,9,FALSE)*-1),"")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undervejs'!$A$3:$J$33,9,FALSE)*-1),"")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undervejs'!$A$3:$J$33,9,FALSE)*-1),"")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undervejs'!$A$3:$J$33,9,FALSE)*-1),"")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undervejs'!$A$3:$J$33,9,FALSE)*-1),"")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undervejs'!$A$3:$J$33,9,FALSE)*-1),"")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undervejs'!$A$3:$J$33,9,FALSE)*-1),"")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undervejs'!$A$3:$J$33,9,FALSE)*-1),"")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undervejs'!$A$3:$J$33,9,FALSE)*-1),"")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undervejs'!$A$3:$J$33,9,FALSE)*-1),"")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undervejs'!$A$3:$J$33,9,FALSE)*-1),"")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undervejs'!$A$3:$J$33,9,FALSE)*-1),"")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undervejs'!$A$3:$J$33,9,FALSE)*-1),"")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undervejs'!$A$3:$J$33,9,FALSE)*-1),"")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undervejs'!$A$3:$J$33,9,FALSE)*-1),"")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undervejs'!$A$3:$J$33,9,FALSE)*-1),"")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opLeftCell="J1" zoomScale="80" zoomScaleNormal="80" workbookViewId="0">
      <selection activeCell="AD8" sqref="AD8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1" width="10.42578125" style="8" customWidth="1"/>
    <col min="22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6" t="s">
        <v>40</v>
      </c>
      <c r="B1" s="327"/>
      <c r="C1" s="327"/>
      <c r="D1" s="327"/>
      <c r="E1" s="327"/>
      <c r="F1" s="327"/>
      <c r="G1" s="327"/>
      <c r="H1" s="327"/>
      <c r="I1" s="260"/>
      <c r="J1" s="260"/>
      <c r="K1" s="323" t="s">
        <v>106</v>
      </c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</row>
    <row r="2" spans="1:34">
      <c r="B2" s="324" t="s">
        <v>5</v>
      </c>
      <c r="C2" s="324"/>
      <c r="D2" s="324"/>
      <c r="E2" s="50">
        <v>0.43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5" t="s">
        <v>6</v>
      </c>
      <c r="C3" s="325"/>
      <c r="D3" s="325"/>
      <c r="E3" s="50">
        <v>6.5</v>
      </c>
      <c r="F3" s="13">
        <f>E2/E3</f>
        <v>6.6153846153846146E-2</v>
      </c>
      <c r="G3" s="14">
        <f>F3*3600</f>
        <v>238.15384615384613</v>
      </c>
      <c r="H3" s="12">
        <f>G3/86400</f>
        <v>2.7564102564102562E-3</v>
      </c>
      <c r="I3" s="235"/>
      <c r="J3" s="11"/>
      <c r="K3" s="41"/>
      <c r="L3" s="42"/>
      <c r="M3" s="43"/>
    </row>
    <row r="4" spans="1:34" ht="15.75" thickBot="1">
      <c r="B4" s="328" t="s">
        <v>107</v>
      </c>
      <c r="C4" s="328"/>
      <c r="D4" s="328"/>
      <c r="E4" s="328"/>
      <c r="F4" s="328"/>
      <c r="G4" s="328"/>
      <c r="H4" s="248">
        <v>6.9444444444444447E-4</v>
      </c>
      <c r="I4" s="218"/>
      <c r="J4" s="234"/>
      <c r="K4" s="11"/>
      <c r="L4" s="41">
        <f>IF(L7=12,15,IF(L7=14,15,IF(L7=17,15,IF(L7=19,15,IF(L7=22,15,IF(L7=26,15,IF(L7=31,15,IF(L7=32,15,0))))))))</f>
        <v>15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15</v>
      </c>
      <c r="Q4" s="41">
        <f t="shared" si="0"/>
        <v>0</v>
      </c>
      <c r="R4" s="41">
        <f t="shared" si="0"/>
        <v>15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5" t="s">
        <v>177</v>
      </c>
      <c r="C5" s="325"/>
      <c r="D5" s="325"/>
      <c r="E5" s="9"/>
      <c r="G5" s="13"/>
      <c r="H5" s="2">
        <f>SUM(H3:H4)</f>
        <v>3.4508547008547008E-3</v>
      </c>
      <c r="I5" s="218"/>
      <c r="J5" s="321" t="s">
        <v>169</v>
      </c>
      <c r="K5" s="322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6.9017094017094016E-3</v>
      </c>
      <c r="J6" s="222" t="s">
        <v>12</v>
      </c>
      <c r="K6" s="223" t="s">
        <v>16</v>
      </c>
      <c r="L6" s="291" t="str">
        <f>VLOOKUP(L7,'PTV Forhindringer'!$A$1:$D$36,2,FALSE)</f>
        <v>Ride gennem labyrint</v>
      </c>
      <c r="M6" s="292" t="str">
        <f>VLOOKUP(M7,'PTV Forhindringer'!$A$1:$D$36,2,FALSE)</f>
        <v>Hæk</v>
      </c>
      <c r="N6" s="292" t="str">
        <f>VLOOKUP(N7,'PTV Forhindringer'!$A$1:$D$36,2,FALSE)</f>
        <v>Ride gennem smal passage</v>
      </c>
      <c r="O6" s="292" t="str">
        <f>VLOOKUP(O7,'PTV Forhindringer'!$A$1:$D$36,2,FALSE)</f>
        <v>Slalom</v>
      </c>
      <c r="P6" s="292" t="str">
        <f>VLOOKUP(P7,'PTV Forhindringer'!$A$1:$D$36,2,FALSE)</f>
        <v>Ride over bro</v>
      </c>
      <c r="Q6" s="292" t="str">
        <f>VLOOKUP(Q7,'PTV Forhindringer'!$A$1:$D$36,2,FALSE)</f>
        <v>Opsidning</v>
      </c>
      <c r="R6" s="292" t="str">
        <f>VLOOKUP(R7,'PTV Forhindringer'!$A$1:$D$36,2,FALSE)</f>
        <v>Stilstand til hest</v>
      </c>
      <c r="S6" s="292" t="str">
        <f>VLOOKUP(S7,'PTV Forhindringer'!$A$1:$D$36,2,FALSE)</f>
        <v>Føre gennem smal passage</v>
      </c>
      <c r="T6" s="292" t="str">
        <f>VLOOKUP(T7,'PTV Forhindringer'!$A$1:$D$36,2,FALSE)</f>
        <v>Føre gennem labyrint</v>
      </c>
      <c r="U6" s="292" t="str">
        <f>VLOOKUP(U7,'PTV Forhindringer'!$A$1:$D$36,2,FALSE)</f>
        <v>Føre over bro</v>
      </c>
      <c r="V6" s="292" t="e">
        <f>VLOOKUP(V7,'PTV Forhindringer'!$A$1:$D$36,2,FALSE)</f>
        <v>#N/A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20" t="s">
        <v>170</v>
      </c>
      <c r="K7" s="320"/>
      <c r="L7" s="220">
        <v>22</v>
      </c>
      <c r="M7" s="219">
        <v>18</v>
      </c>
      <c r="N7" s="219">
        <v>9</v>
      </c>
      <c r="O7" s="219">
        <v>33</v>
      </c>
      <c r="P7" s="219">
        <v>26</v>
      </c>
      <c r="Q7" s="219">
        <v>23</v>
      </c>
      <c r="R7" s="219">
        <v>19</v>
      </c>
      <c r="S7" s="219">
        <v>8</v>
      </c>
      <c r="T7" s="219">
        <v>21</v>
      </c>
      <c r="U7" s="219">
        <v>25</v>
      </c>
      <c r="V7" s="219"/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8" t="s">
        <v>181</v>
      </c>
      <c r="AH7" s="319"/>
    </row>
    <row r="8" spans="1:34" ht="15" customHeight="1">
      <c r="A8" s="48">
        <f>VLOOKUP(RYTTERDATA!A5,RYTTERDATA!A5,1,FALSE)</f>
        <v>10</v>
      </c>
      <c r="B8" s="115" t="str">
        <f>VLOOKUP(A8,RYTTERDATA!$A$5:$B$34,2,FALSE)</f>
        <v>Heidi Hedegård</v>
      </c>
      <c r="C8" s="56">
        <v>0.43055555555555558</v>
      </c>
      <c r="D8" s="56">
        <v>0.43387731481481479</v>
      </c>
      <c r="E8" s="3">
        <f>D8-C8</f>
        <v>3.3217592592592049E-3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10</v>
      </c>
      <c r="K8" s="115" t="str">
        <f>VLOOKUP(J8,RYTTERDATA!$A$5:$B$34,2,FALSE)</f>
        <v>Heidi Hedegård</v>
      </c>
      <c r="L8" s="251">
        <v>9</v>
      </c>
      <c r="M8" s="252">
        <v>9</v>
      </c>
      <c r="N8" s="252">
        <v>10</v>
      </c>
      <c r="O8" s="252">
        <v>7</v>
      </c>
      <c r="P8" s="252">
        <v>10</v>
      </c>
      <c r="Q8" s="252">
        <v>3</v>
      </c>
      <c r="R8" s="252">
        <v>10</v>
      </c>
      <c r="S8" s="252">
        <v>10</v>
      </c>
      <c r="T8" s="252">
        <v>10</v>
      </c>
      <c r="U8" s="252">
        <v>10</v>
      </c>
      <c r="V8" s="252"/>
      <c r="W8" s="252"/>
      <c r="X8" s="252"/>
      <c r="Y8" s="252"/>
      <c r="Z8" s="252"/>
      <c r="AA8" s="252"/>
      <c r="AB8" s="256">
        <f>IF(K8&lt;&gt;0,(SUM(L8:AA8)),"")</f>
        <v>88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88</v>
      </c>
      <c r="AF8" s="34"/>
      <c r="AG8" s="209"/>
      <c r="AH8" s="224"/>
    </row>
    <row r="9" spans="1:34" ht="15" customHeight="1">
      <c r="A9" s="48">
        <f>VLOOKUP(RYTTERDATA!A6,RYTTERDATA!A6,1,FALSE)</f>
        <v>11</v>
      </c>
      <c r="B9" s="115" t="str">
        <f>VLOOKUP(A9,RYTTERDATA!$A$5:$B$34,2,FALSE)</f>
        <v>Emilie Steinmejer</v>
      </c>
      <c r="C9" s="56">
        <v>0.43402777777777773</v>
      </c>
      <c r="D9" s="56">
        <v>0.43685185185185182</v>
      </c>
      <c r="E9" s="3">
        <f>D9-C9</f>
        <v>2.8240740740740899E-3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11</v>
      </c>
      <c r="K9" s="115" t="str">
        <f>VLOOKUP(J9,RYTTERDATA!$A$5:$B$34,2,FALSE)</f>
        <v>Emilie Steinmejer</v>
      </c>
      <c r="L9" s="221">
        <v>8</v>
      </c>
      <c r="M9" s="130">
        <v>0</v>
      </c>
      <c r="N9" s="130">
        <v>10</v>
      </c>
      <c r="O9" s="130">
        <v>4</v>
      </c>
      <c r="P9" s="130">
        <v>10</v>
      </c>
      <c r="Q9" s="130">
        <v>8</v>
      </c>
      <c r="R9" s="130">
        <v>1</v>
      </c>
      <c r="S9" s="130">
        <v>5</v>
      </c>
      <c r="T9" s="130">
        <v>10</v>
      </c>
      <c r="U9" s="130">
        <v>10</v>
      </c>
      <c r="V9" s="130"/>
      <c r="W9" s="130"/>
      <c r="X9" s="130"/>
      <c r="Y9" s="130"/>
      <c r="Z9" s="130"/>
      <c r="AA9" s="130"/>
      <c r="AB9" s="257">
        <f t="shared" ref="AB9:AB37" si="3">IF(K9&lt;&gt;0,(SUM(L9:AA9)),"")</f>
        <v>66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66</v>
      </c>
      <c r="AF9" s="34"/>
      <c r="AG9" s="209"/>
      <c r="AH9" s="9"/>
    </row>
    <row r="10" spans="1:34" ht="15" customHeight="1">
      <c r="A10" s="48">
        <f>VLOOKUP(RYTTERDATA!A7,RYTTERDATA!A7,1,FALSE)</f>
        <v>0</v>
      </c>
      <c r="B10" s="115">
        <f>VLOOKUP(A10,RYTTERDATA!$A$5:$B$34,2,FALSE)</f>
        <v>0</v>
      </c>
      <c r="C10" s="56"/>
      <c r="D10" s="56"/>
      <c r="E10" s="3">
        <f t="shared" ref="E10:E37" si="5">D10-C10</f>
        <v>0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 t="str">
        <f t="shared" si="2"/>
        <v/>
      </c>
      <c r="J10" s="48">
        <f>VLOOKUP(RYTTERDATA!A7,RYTTERDATA!A7,1,FALSE)</f>
        <v>0</v>
      </c>
      <c r="K10" s="115">
        <f>VLOOKUP(J10,RYTTERDATA!$A$5:$B$34,2,FALSE)</f>
        <v>0</v>
      </c>
      <c r="L10" s="251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6" t="str">
        <f t="shared" si="3"/>
        <v/>
      </c>
      <c r="AC10" s="256" t="str">
        <f t="shared" si="1"/>
        <v/>
      </c>
      <c r="AD10" s="117"/>
      <c r="AE10" s="258" t="str">
        <f t="shared" si="4"/>
        <v/>
      </c>
      <c r="AF10" s="34"/>
      <c r="AG10" s="209"/>
    </row>
    <row r="11" spans="1:34" ht="15" customHeight="1">
      <c r="A11" s="48">
        <f>VLOOKUP(RYTTERDATA!A8,RYTTERDATA!A8,1,FALSE)</f>
        <v>0</v>
      </c>
      <c r="B11" s="115">
        <f>VLOOKUP(A11,RYTTERDATA!$A$5:$B$34,2,FALSE)</f>
        <v>0</v>
      </c>
      <c r="C11" s="56"/>
      <c r="D11" s="56"/>
      <c r="E11" s="3">
        <f t="shared" si="5"/>
        <v>0</v>
      </c>
      <c r="F11" s="60" t="str">
        <f t="shared" si="6"/>
        <v>0</v>
      </c>
      <c r="G11" s="117">
        <f t="shared" si="7"/>
        <v>0</v>
      </c>
      <c r="H11" s="228" t="str">
        <f t="shared" si="2"/>
        <v/>
      </c>
      <c r="J11" s="48">
        <f>VLOOKUP(RYTTERDATA!A8,RYTTERDATA!A8,1,FALSE)</f>
        <v>0</v>
      </c>
      <c r="K11" s="115">
        <f>VLOOKUP(J11,RYTTERDATA!$A$5:$B$34,2,FALSE)</f>
        <v>0</v>
      </c>
      <c r="L11" s="221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257" t="str">
        <f t="shared" si="3"/>
        <v/>
      </c>
      <c r="AC11" s="257" t="str">
        <f t="shared" si="1"/>
        <v/>
      </c>
      <c r="AD11" s="174"/>
      <c r="AE11" s="259" t="str">
        <f t="shared" si="4"/>
        <v/>
      </c>
      <c r="AF11" s="34"/>
      <c r="AG11" s="209"/>
    </row>
    <row r="12" spans="1:34" ht="15" customHeight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t="15" customHeight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35"/>
  <sheetViews>
    <sheetView workbookViewId="0">
      <selection activeCell="G7" sqref="G7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5" width="12.85546875" style="296" customWidth="1"/>
    <col min="6" max="6" width="11.5703125" style="8" customWidth="1"/>
    <col min="7" max="7" width="11" style="8" customWidth="1"/>
    <col min="8" max="8" width="9.5703125" style="83" customWidth="1"/>
    <col min="9" max="10" width="9.5703125" style="296" customWidth="1"/>
    <col min="11" max="11" width="9" style="8" customWidth="1"/>
    <col min="12" max="12" width="11.42578125" style="8" customWidth="1"/>
    <col min="13" max="13" width="12.28515625" style="8" bestFit="1" customWidth="1"/>
    <col min="14" max="14" width="7.140625" style="8" customWidth="1"/>
    <col min="15" max="15" width="5.28515625" style="8" customWidth="1"/>
    <col min="16" max="16" width="9.140625" style="8"/>
    <col min="17" max="17" width="14.85546875" style="8" bestFit="1" customWidth="1"/>
    <col min="18" max="22" width="9.140625" style="8"/>
    <col min="23" max="23" width="13.42578125" style="8" customWidth="1"/>
    <col min="24" max="16384" width="9.140625" style="8"/>
  </cols>
  <sheetData>
    <row r="1" spans="1:24" ht="31.5">
      <c r="A1" s="330" t="s">
        <v>17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2"/>
      <c r="P1" s="323"/>
      <c r="Q1" s="323"/>
      <c r="R1" s="323"/>
      <c r="S1" s="323"/>
      <c r="T1" s="323"/>
      <c r="U1" s="323"/>
      <c r="V1" s="323"/>
      <c r="W1" s="323"/>
    </row>
    <row r="2" spans="1:24" ht="16.5" customHeight="1">
      <c r="A2" s="71"/>
      <c r="B2" s="329" t="s">
        <v>67</v>
      </c>
      <c r="C2" s="329"/>
      <c r="D2" s="329"/>
      <c r="E2" s="329"/>
      <c r="F2" s="329"/>
      <c r="G2" s="72"/>
      <c r="H2" s="72"/>
      <c r="I2" s="72"/>
      <c r="J2" s="72"/>
      <c r="K2" s="73"/>
      <c r="L2" s="73"/>
      <c r="M2" s="73"/>
      <c r="N2" s="7"/>
      <c r="P2" s="11"/>
      <c r="Q2" s="11"/>
      <c r="R2" s="11"/>
      <c r="S2" s="11"/>
      <c r="T2" s="11"/>
      <c r="U2" s="11"/>
      <c r="V2" s="11"/>
      <c r="W2" s="11"/>
    </row>
    <row r="3" spans="1:24">
      <c r="A3" s="71"/>
      <c r="B3" s="73"/>
      <c r="C3" s="73"/>
      <c r="D3" s="136"/>
      <c r="E3" s="136"/>
      <c r="F3" s="73"/>
      <c r="G3" s="73"/>
      <c r="H3" s="84"/>
      <c r="I3" s="136"/>
      <c r="J3" s="136"/>
      <c r="K3" s="73"/>
      <c r="L3" s="73"/>
      <c r="M3" s="73"/>
      <c r="P3" s="11"/>
      <c r="Q3" s="11"/>
      <c r="R3" s="11"/>
      <c r="S3" s="11"/>
      <c r="T3" s="11"/>
      <c r="U3" s="11"/>
      <c r="V3" s="11"/>
      <c r="W3" s="11"/>
    </row>
    <row r="4" spans="1:24" ht="30">
      <c r="A4" s="74" t="s">
        <v>12</v>
      </c>
      <c r="B4" s="74" t="s">
        <v>13</v>
      </c>
      <c r="C4" s="125" t="s">
        <v>60</v>
      </c>
      <c r="D4" s="125" t="s">
        <v>196</v>
      </c>
      <c r="E4" s="125" t="s">
        <v>197</v>
      </c>
      <c r="F4" s="297" t="s">
        <v>20</v>
      </c>
      <c r="G4" s="62" t="s">
        <v>21</v>
      </c>
      <c r="H4" s="126" t="s">
        <v>63</v>
      </c>
      <c r="I4" s="126" t="s">
        <v>196</v>
      </c>
      <c r="J4" s="126" t="s">
        <v>197</v>
      </c>
      <c r="K4" s="63" t="s">
        <v>22</v>
      </c>
      <c r="L4" s="64" t="s">
        <v>23</v>
      </c>
      <c r="M4" s="63" t="s">
        <v>62</v>
      </c>
      <c r="N4" s="128" t="s">
        <v>24</v>
      </c>
      <c r="O4" s="5"/>
      <c r="P4" s="5"/>
      <c r="Q4" s="11"/>
      <c r="R4" s="11"/>
      <c r="S4" s="40"/>
      <c r="T4" s="40"/>
      <c r="U4" s="40"/>
      <c r="V4" s="40"/>
      <c r="W4" s="40"/>
      <c r="X4" s="45"/>
    </row>
    <row r="5" spans="1:24" ht="15" customHeight="1">
      <c r="A5" s="75">
        <f>VLOOKUP(RYTTERDATA!A5,RYTTERDATA!A5,1,FALSE)</f>
        <v>10</v>
      </c>
      <c r="B5" s="129" t="str">
        <f>RYTTERDATA!B5</f>
        <v>Heidi Hedegård</v>
      </c>
      <c r="C5" s="127" t="s">
        <v>203</v>
      </c>
      <c r="D5" s="298">
        <v>14.88</v>
      </c>
      <c r="E5" s="298">
        <v>15.1</v>
      </c>
      <c r="F5" s="131">
        <f>AVERAGE(D5:E5)</f>
        <v>14.99</v>
      </c>
      <c r="G5" s="123">
        <f>IF(C5="G",VLOOKUP(F5,'Matrix 75 m'!$D$4:$E$7837,2,FALSE),IF(C5="T",VLOOKUP(F5,'Matrix 75 m'!$G$4:$H$7837,2,FALSE)))</f>
        <v>4</v>
      </c>
      <c r="H5" s="82" t="s">
        <v>61</v>
      </c>
      <c r="I5" s="298">
        <v>52.66</v>
      </c>
      <c r="J5" s="298">
        <v>51.79</v>
      </c>
      <c r="K5" s="76">
        <f>AVERAGE(I5:J5)</f>
        <v>52.224999999999994</v>
      </c>
      <c r="L5" s="124" t="b">
        <f>IF(H5="S",VLOOKUP(K5,'Matrix 75 m'!$A$4:$B$7837,2,FALSE))</f>
        <v>0</v>
      </c>
      <c r="M5" s="77"/>
      <c r="N5" s="78">
        <f t="shared" ref="N5:N10" si="0">IF(B5&lt;&gt;0,(G5+L5-M5),"")</f>
        <v>4</v>
      </c>
      <c r="O5" s="6"/>
      <c r="P5" s="17"/>
      <c r="Q5" s="34"/>
      <c r="R5" s="35"/>
      <c r="S5" s="10"/>
      <c r="T5" s="26"/>
      <c r="U5" s="26"/>
      <c r="V5" s="26"/>
      <c r="W5" s="46"/>
      <c r="X5" s="26"/>
    </row>
    <row r="6" spans="1:24" ht="15" customHeight="1">
      <c r="A6" s="75">
        <f>VLOOKUP(RYTTERDATA!A6,RYTTERDATA!A6,1,FALSE)</f>
        <v>11</v>
      </c>
      <c r="B6" s="129" t="str">
        <f>RYTTERDATA!B6</f>
        <v>Emilie Steinmejer</v>
      </c>
      <c r="C6" s="82" t="s">
        <v>204</v>
      </c>
      <c r="D6" s="207">
        <v>33.31</v>
      </c>
      <c r="E6" s="207">
        <v>33.15</v>
      </c>
      <c r="F6" s="131">
        <f t="shared" ref="F6:F34" si="1">AVERAGE(D6:E6)</f>
        <v>33.230000000000004</v>
      </c>
      <c r="G6" s="123">
        <v>15</v>
      </c>
      <c r="H6" s="82" t="s">
        <v>205</v>
      </c>
      <c r="I6" s="207">
        <v>40.159999999999997</v>
      </c>
      <c r="J6" s="207">
        <v>39.56</v>
      </c>
      <c r="K6" s="76">
        <f t="shared" ref="K6:K34" si="2">AVERAGE(I6:J6)</f>
        <v>39.86</v>
      </c>
      <c r="L6" s="124">
        <f>IF(H6="S",VLOOKUP(K6,'Matrix 75 m'!$A$4:$B$7837,2,FALSE))</f>
        <v>17</v>
      </c>
      <c r="M6" s="77"/>
      <c r="N6" s="78">
        <f t="shared" si="0"/>
        <v>32</v>
      </c>
      <c r="O6" s="6"/>
      <c r="P6" s="17"/>
      <c r="Q6" s="34"/>
      <c r="R6" s="36"/>
      <c r="S6" s="10"/>
      <c r="T6" s="26"/>
      <c r="U6" s="26"/>
      <c r="V6" s="26"/>
      <c r="W6" s="46"/>
      <c r="X6" s="25"/>
    </row>
    <row r="7" spans="1:24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207"/>
      <c r="E7" s="207"/>
      <c r="F7" s="131" t="e">
        <f t="shared" si="1"/>
        <v>#DIV/0!</v>
      </c>
      <c r="G7" s="123" t="b">
        <f>IF(C7="G",VLOOKUP(F7,'Matrix 75 m'!$D$4:$E$7837,2,FALSE),IF(C7="T",VLOOKUP(F7,'Matrix 75 m'!$G$4:$H$7837,2,FALSE)))</f>
        <v>0</v>
      </c>
      <c r="H7" s="82" t="s">
        <v>61</v>
      </c>
      <c r="I7" s="207"/>
      <c r="J7" s="207"/>
      <c r="K7" s="76" t="e">
        <f t="shared" si="2"/>
        <v>#DIV/0!</v>
      </c>
      <c r="L7" s="124" t="b">
        <f>IF(H7="S",VLOOKUP(K7,'Matrix 75 m'!$A$4:$B$7837,2,FALSE))</f>
        <v>0</v>
      </c>
      <c r="M7" s="77"/>
      <c r="N7" s="78" t="str">
        <f t="shared" si="0"/>
        <v/>
      </c>
      <c r="O7" s="6"/>
      <c r="P7" s="17"/>
      <c r="Q7" s="34"/>
      <c r="R7" s="37"/>
      <c r="S7" s="10"/>
      <c r="T7" s="26"/>
      <c r="U7" s="26"/>
      <c r="V7" s="26"/>
      <c r="W7" s="46"/>
      <c r="X7" s="25"/>
    </row>
    <row r="8" spans="1:24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207"/>
      <c r="E8" s="207"/>
      <c r="F8" s="131" t="e">
        <f t="shared" si="1"/>
        <v>#DIV/0!</v>
      </c>
      <c r="G8" s="123" t="b">
        <f>IF(C8="G",VLOOKUP(F8,'Matrix 75 m'!$D$4:$E$7837,2,FALSE),IF(C8="T",VLOOKUP(F8,'Matrix 75 m'!$G$4:$H$7837,2,FALSE)))</f>
        <v>0</v>
      </c>
      <c r="H8" s="82" t="s">
        <v>61</v>
      </c>
      <c r="I8" s="207"/>
      <c r="J8" s="207"/>
      <c r="K8" s="76" t="e">
        <f t="shared" si="2"/>
        <v>#DIV/0!</v>
      </c>
      <c r="L8" s="124" t="b">
        <f>IF(H8="S",VLOOKUP(K8,'Matrix 75 m'!$A$4:$B$7837,2,FALSE))</f>
        <v>0</v>
      </c>
      <c r="M8" s="77"/>
      <c r="N8" s="78" t="str">
        <f t="shared" si="0"/>
        <v/>
      </c>
      <c r="O8" s="6"/>
      <c r="P8" s="17"/>
      <c r="Q8" s="34"/>
      <c r="R8" s="35"/>
      <c r="S8" s="10"/>
      <c r="T8" s="26"/>
      <c r="U8" s="26"/>
      <c r="V8" s="26"/>
      <c r="W8" s="46"/>
      <c r="X8" s="25"/>
    </row>
    <row r="9" spans="1:24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207"/>
      <c r="E9" s="207"/>
      <c r="F9" s="131" t="e">
        <f t="shared" si="1"/>
        <v>#DIV/0!</v>
      </c>
      <c r="G9" s="123" t="b">
        <f>IF(C9="G",VLOOKUP(F9,'Matrix 75 m'!$D$4:$E$7837,2,FALSE),IF(C9="T",VLOOKUP(F9,'Matrix 75 m'!$G$4:$H$7837,2,FALSE)))</f>
        <v>0</v>
      </c>
      <c r="H9" s="82" t="s">
        <v>61</v>
      </c>
      <c r="I9" s="207"/>
      <c r="J9" s="207"/>
      <c r="K9" s="76" t="e">
        <f t="shared" si="2"/>
        <v>#DIV/0!</v>
      </c>
      <c r="L9" s="124" t="b">
        <f>IF(H9="S",VLOOKUP(K9,'Matrix 75 m'!$A$4:$B$7837,2,FALSE))</f>
        <v>0</v>
      </c>
      <c r="M9" s="77"/>
      <c r="N9" s="78" t="str">
        <f t="shared" si="0"/>
        <v/>
      </c>
      <c r="O9" s="6"/>
      <c r="P9" s="17"/>
      <c r="Q9" s="34"/>
      <c r="R9" s="38"/>
      <c r="S9" s="10"/>
      <c r="T9" s="26"/>
      <c r="U9" s="26"/>
      <c r="V9" s="26"/>
      <c r="W9" s="46"/>
      <c r="X9" s="25"/>
    </row>
    <row r="10" spans="1:24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207"/>
      <c r="E10" s="207"/>
      <c r="F10" s="131" t="e">
        <f t="shared" si="1"/>
        <v>#DIV/0!</v>
      </c>
      <c r="G10" s="123" t="b">
        <f>IF(C10="G",VLOOKUP(F10,'Matrix 75 m'!$D$4:$E$7837,2,FALSE),IF(C10="T",VLOOKUP(F10,'Matrix 75 m'!$G$4:$H$7837,2,FALSE)))</f>
        <v>0</v>
      </c>
      <c r="H10" s="82" t="s">
        <v>61</v>
      </c>
      <c r="I10" s="207"/>
      <c r="J10" s="207"/>
      <c r="K10" s="76" t="e">
        <f t="shared" si="2"/>
        <v>#DIV/0!</v>
      </c>
      <c r="L10" s="124" t="b">
        <f>IF(H10="S",VLOOKUP(K10,'Matrix 75 m'!$A$4:$B$7837,2,FALSE))</f>
        <v>0</v>
      </c>
      <c r="M10" s="77"/>
      <c r="N10" s="78" t="str">
        <f t="shared" si="0"/>
        <v/>
      </c>
      <c r="O10" s="6"/>
      <c r="P10" s="17"/>
      <c r="Q10" s="34"/>
      <c r="R10" s="37"/>
      <c r="S10" s="10"/>
      <c r="T10" s="26"/>
      <c r="U10" s="26"/>
      <c r="V10" s="26"/>
      <c r="W10" s="46"/>
      <c r="X10" s="25"/>
    </row>
    <row r="11" spans="1:24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207"/>
      <c r="E11" s="207"/>
      <c r="F11" s="131" t="e">
        <f t="shared" si="1"/>
        <v>#DIV/0!</v>
      </c>
      <c r="G11" s="123" t="b">
        <f>IF(C11="G",VLOOKUP(F11,'Matrix 75 m'!$D$4:$E$7837,2,FALSE),IF(C11="T",VLOOKUP(F11,'Matrix 75 m'!$G$4:$H$7837,2,FALSE)))</f>
        <v>0</v>
      </c>
      <c r="H11" s="82" t="s">
        <v>61</v>
      </c>
      <c r="I11" s="207"/>
      <c r="J11" s="207"/>
      <c r="K11" s="76" t="e">
        <f t="shared" si="2"/>
        <v>#DIV/0!</v>
      </c>
      <c r="L11" s="124" t="b">
        <f>IF(H11="S",VLOOKUP(K11,'Matrix 75 m'!$A$4:$B$7837,2,FALSE))</f>
        <v>0</v>
      </c>
      <c r="M11" s="77"/>
      <c r="N11" s="78" t="str">
        <f t="shared" ref="N11:N34" si="3">IF(B11&lt;&gt;0,(G11+L11-M11),"")</f>
        <v/>
      </c>
      <c r="O11" s="6"/>
      <c r="P11" s="17"/>
      <c r="Q11" s="34"/>
      <c r="R11" s="37"/>
      <c r="S11" s="10"/>
      <c r="T11" s="26"/>
      <c r="U11" s="26"/>
      <c r="V11" s="26"/>
      <c r="W11" s="46"/>
      <c r="X11" s="25"/>
    </row>
    <row r="12" spans="1:24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207"/>
      <c r="E12" s="207"/>
      <c r="F12" s="131" t="e">
        <f t="shared" si="1"/>
        <v>#DIV/0!</v>
      </c>
      <c r="G12" s="123" t="b">
        <f>IF(C12="G",VLOOKUP(F12,'Matrix 75 m'!$D$4:$E$7837,2,FALSE),IF(C12="T",VLOOKUP(F12,'Matrix 75 m'!$G$4:$H$7837,2,FALSE)))</f>
        <v>0</v>
      </c>
      <c r="H12" s="82" t="s">
        <v>61</v>
      </c>
      <c r="I12" s="207"/>
      <c r="J12" s="207"/>
      <c r="K12" s="76" t="e">
        <f t="shared" si="2"/>
        <v>#DIV/0!</v>
      </c>
      <c r="L12" s="124" t="b">
        <f>IF(H12="S",VLOOKUP(K12,'Matrix 75 m'!$A$4:$B$7837,2,FALSE))</f>
        <v>0</v>
      </c>
      <c r="M12" s="77"/>
      <c r="N12" s="78" t="str">
        <f t="shared" si="3"/>
        <v/>
      </c>
      <c r="O12" s="6"/>
      <c r="P12" s="17"/>
      <c r="Q12" s="11"/>
      <c r="R12" s="11"/>
      <c r="S12" s="11"/>
      <c r="T12" s="11"/>
      <c r="U12" s="11"/>
      <c r="V12" s="11"/>
      <c r="W12" s="11"/>
      <c r="X12" s="11"/>
    </row>
    <row r="13" spans="1:24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207"/>
      <c r="E13" s="207"/>
      <c r="F13" s="131" t="e">
        <f t="shared" si="1"/>
        <v>#DIV/0!</v>
      </c>
      <c r="G13" s="123" t="b">
        <f>IF(C13="G",VLOOKUP(F13,'Matrix 75 m'!$D$4:$E$7837,2,FALSE),IF(C13="T",VLOOKUP(F13,'Matrix 75 m'!$G$4:$H$7837,2,FALSE)))</f>
        <v>0</v>
      </c>
      <c r="H13" s="82" t="s">
        <v>61</v>
      </c>
      <c r="I13" s="207"/>
      <c r="J13" s="207"/>
      <c r="K13" s="76" t="e">
        <f t="shared" si="2"/>
        <v>#DIV/0!</v>
      </c>
      <c r="L13" s="124" t="b">
        <f>IF(H13="S",VLOOKUP(K13,'Matrix 75 m'!$A$4:$B$7837,2,FALSE))</f>
        <v>0</v>
      </c>
      <c r="M13" s="77"/>
      <c r="N13" s="78" t="str">
        <f t="shared" si="3"/>
        <v/>
      </c>
      <c r="O13" s="6"/>
      <c r="P13" s="17"/>
      <c r="Q13" s="11"/>
      <c r="R13" s="11"/>
      <c r="S13" s="11"/>
      <c r="T13" s="11"/>
      <c r="U13" s="11"/>
      <c r="V13" s="11"/>
      <c r="W13" s="11"/>
      <c r="X13" s="11"/>
    </row>
    <row r="14" spans="1:24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207"/>
      <c r="E14" s="207"/>
      <c r="F14" s="131" t="e">
        <f t="shared" si="1"/>
        <v>#DIV/0!</v>
      </c>
      <c r="G14" s="123" t="b">
        <f>IF(C14="G",VLOOKUP(F14,'Matrix 75 m'!$D$4:$E$7837,2,FALSE),IF(C14="T",VLOOKUP(F14,'Matrix 75 m'!$G$4:$H$7837,2,FALSE)))</f>
        <v>0</v>
      </c>
      <c r="H14" s="82" t="s">
        <v>61</v>
      </c>
      <c r="I14" s="207"/>
      <c r="J14" s="207"/>
      <c r="K14" s="76" t="e">
        <f t="shared" si="2"/>
        <v>#DIV/0!</v>
      </c>
      <c r="L14" s="124" t="b">
        <f>IF(H14="S",VLOOKUP(K14,'Matrix 75 m'!$A$4:$B$7837,2,FALSE))</f>
        <v>0</v>
      </c>
      <c r="M14" s="77"/>
      <c r="N14" s="78" t="str">
        <f t="shared" si="3"/>
        <v/>
      </c>
      <c r="O14" s="6"/>
      <c r="P14" s="17"/>
      <c r="Q14" s="11"/>
      <c r="R14" s="11"/>
      <c r="S14" s="11"/>
      <c r="T14" s="11"/>
      <c r="U14" s="11"/>
      <c r="V14" s="11"/>
      <c r="W14" s="11"/>
      <c r="X14" s="11"/>
    </row>
    <row r="15" spans="1:24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207"/>
      <c r="E15" s="207"/>
      <c r="F15" s="131" t="e">
        <f t="shared" si="1"/>
        <v>#DIV/0!</v>
      </c>
      <c r="G15" s="123" t="b">
        <f>IF(C15="G",VLOOKUP(F15,'Matrix 75 m'!$D$4:$E$7837,2,FALSE),IF(C15="T",VLOOKUP(F15,'Matrix 75 m'!$G$4:$H$7837,2,FALSE)))</f>
        <v>0</v>
      </c>
      <c r="H15" s="82" t="s">
        <v>61</v>
      </c>
      <c r="I15" s="207"/>
      <c r="J15" s="207"/>
      <c r="K15" s="76" t="e">
        <f t="shared" si="2"/>
        <v>#DIV/0!</v>
      </c>
      <c r="L15" s="124" t="b">
        <f>IF(H15="S",VLOOKUP(K15,'Matrix 75 m'!$A$4:$B$7837,2,FALSE))</f>
        <v>0</v>
      </c>
      <c r="M15" s="77"/>
      <c r="N15" s="78" t="str">
        <f t="shared" si="3"/>
        <v/>
      </c>
      <c r="O15" s="6"/>
      <c r="P15" s="17"/>
      <c r="Q15" s="5"/>
    </row>
    <row r="16" spans="1:24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207"/>
      <c r="E16" s="207"/>
      <c r="F16" s="131" t="e">
        <f t="shared" si="1"/>
        <v>#DIV/0!</v>
      </c>
      <c r="G16" s="123" t="b">
        <f>IF(C16="G",VLOOKUP(F16,'Matrix 75 m'!$D$4:$E$7837,2,FALSE),IF(C16="T",VLOOKUP(F16,'Matrix 75 m'!$G$4:$H$7837,2,FALSE)))</f>
        <v>0</v>
      </c>
      <c r="H16" s="82" t="s">
        <v>61</v>
      </c>
      <c r="I16" s="207"/>
      <c r="J16" s="207"/>
      <c r="K16" s="76" t="e">
        <f t="shared" si="2"/>
        <v>#DIV/0!</v>
      </c>
      <c r="L16" s="124" t="b">
        <f>IF(H16="S",VLOOKUP(K16,'Matrix 75 m'!$A$4:$B$7837,2,FALSE))</f>
        <v>0</v>
      </c>
      <c r="M16" s="77"/>
      <c r="N16" s="78" t="str">
        <f t="shared" si="3"/>
        <v/>
      </c>
      <c r="O16" s="6"/>
      <c r="P16" s="17"/>
      <c r="Q16" s="5"/>
    </row>
    <row r="17" spans="1:17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207"/>
      <c r="E17" s="207"/>
      <c r="F17" s="131" t="e">
        <f t="shared" si="1"/>
        <v>#DIV/0!</v>
      </c>
      <c r="G17" s="123" t="b">
        <f>IF(C17="G",VLOOKUP(F17,'Matrix 75 m'!$D$4:$E$7837,2,FALSE),IF(C17="T",VLOOKUP(F17,'Matrix 75 m'!$G$4:$H$7837,2,FALSE)))</f>
        <v>0</v>
      </c>
      <c r="H17" s="82" t="s">
        <v>61</v>
      </c>
      <c r="I17" s="207"/>
      <c r="J17" s="207"/>
      <c r="K17" s="76" t="e">
        <f t="shared" si="2"/>
        <v>#DIV/0!</v>
      </c>
      <c r="L17" s="124" t="b">
        <f>IF(H17="S",VLOOKUP(K17,'Matrix 75 m'!$A$4:$B$7837,2,FALSE))</f>
        <v>0</v>
      </c>
      <c r="M17" s="77"/>
      <c r="N17" s="78" t="str">
        <f t="shared" si="3"/>
        <v/>
      </c>
      <c r="O17" s="6"/>
      <c r="P17" s="17"/>
      <c r="Q17" s="5"/>
    </row>
    <row r="18" spans="1:17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207"/>
      <c r="E18" s="207"/>
      <c r="F18" s="131" t="e">
        <f t="shared" si="1"/>
        <v>#DIV/0!</v>
      </c>
      <c r="G18" s="123" t="b">
        <f>IF(C18="G",VLOOKUP(F18,'Matrix 75 m'!$D$4:$E$7837,2,FALSE),IF(C18="T",VLOOKUP(F18,'Matrix 75 m'!$G$4:$H$7837,2,FALSE)))</f>
        <v>0</v>
      </c>
      <c r="H18" s="82" t="s">
        <v>61</v>
      </c>
      <c r="I18" s="207"/>
      <c r="J18" s="207"/>
      <c r="K18" s="76" t="e">
        <f t="shared" si="2"/>
        <v>#DIV/0!</v>
      </c>
      <c r="L18" s="124" t="b">
        <f>IF(H18="S",VLOOKUP(K18,'Matrix 75 m'!$A$4:$B$7837,2,FALSE))</f>
        <v>0</v>
      </c>
      <c r="M18" s="77"/>
      <c r="N18" s="78" t="str">
        <f t="shared" si="3"/>
        <v/>
      </c>
      <c r="O18" s="6"/>
      <c r="P18" s="17"/>
      <c r="Q18" s="5"/>
    </row>
    <row r="19" spans="1:17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207"/>
      <c r="E19" s="207"/>
      <c r="F19" s="131" t="e">
        <f t="shared" si="1"/>
        <v>#DIV/0!</v>
      </c>
      <c r="G19" s="123" t="b">
        <f>IF(C19="G",VLOOKUP(F19,'Matrix 75 m'!$D$4:$E$7837,2,FALSE),IF(C19="T",VLOOKUP(F19,'Matrix 75 m'!$G$4:$H$7837,2,FALSE)))</f>
        <v>0</v>
      </c>
      <c r="H19" s="82" t="s">
        <v>61</v>
      </c>
      <c r="I19" s="207"/>
      <c r="J19" s="207"/>
      <c r="K19" s="76" t="e">
        <f t="shared" si="2"/>
        <v>#DIV/0!</v>
      </c>
      <c r="L19" s="124" t="b">
        <f>IF(H19="S",VLOOKUP(K19,'Matrix 75 m'!$A$4:$B$7837,2,FALSE))</f>
        <v>0</v>
      </c>
      <c r="M19" s="77"/>
      <c r="N19" s="78" t="str">
        <f t="shared" si="3"/>
        <v/>
      </c>
      <c r="O19" s="6"/>
      <c r="P19" s="4"/>
    </row>
    <row r="20" spans="1:17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207"/>
      <c r="E20" s="207"/>
      <c r="F20" s="131" t="e">
        <f t="shared" si="1"/>
        <v>#DIV/0!</v>
      </c>
      <c r="G20" s="123" t="b">
        <f>IF(C20="G",VLOOKUP(F20,'Matrix 75 m'!$D$4:$E$7837,2,FALSE),IF(C20="T",VLOOKUP(F20,'Matrix 75 m'!$G$4:$H$7837,2,FALSE)))</f>
        <v>0</v>
      </c>
      <c r="H20" s="82" t="s">
        <v>61</v>
      </c>
      <c r="I20" s="207"/>
      <c r="J20" s="207"/>
      <c r="K20" s="76" t="e">
        <f t="shared" si="2"/>
        <v>#DIV/0!</v>
      </c>
      <c r="L20" s="124" t="b">
        <f>IF(H20="S",VLOOKUP(K20,'Matrix 75 m'!$A$4:$B$7837,2,FALSE))</f>
        <v>0</v>
      </c>
      <c r="M20" s="77"/>
      <c r="N20" s="78" t="str">
        <f t="shared" si="3"/>
        <v/>
      </c>
      <c r="O20" s="6"/>
      <c r="P20" s="4"/>
    </row>
    <row r="21" spans="1:17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207"/>
      <c r="E21" s="207"/>
      <c r="F21" s="131" t="e">
        <f t="shared" si="1"/>
        <v>#DIV/0!</v>
      </c>
      <c r="G21" s="123" t="b">
        <f>IF(C21="G",VLOOKUP(F21,'Matrix 75 m'!$D$4:$E$7837,2,FALSE),IF(C21="T",VLOOKUP(F21,'Matrix 75 m'!$G$4:$H$7837,2,FALSE)))</f>
        <v>0</v>
      </c>
      <c r="H21" s="82" t="s">
        <v>61</v>
      </c>
      <c r="I21" s="207"/>
      <c r="J21" s="207"/>
      <c r="K21" s="76" t="e">
        <f t="shared" si="2"/>
        <v>#DIV/0!</v>
      </c>
      <c r="L21" s="124" t="b">
        <f>IF(H21="S",VLOOKUP(K21,'Matrix 75 m'!$A$4:$B$7837,2,FALSE))</f>
        <v>0</v>
      </c>
      <c r="M21" s="77"/>
      <c r="N21" s="78" t="str">
        <f t="shared" si="3"/>
        <v/>
      </c>
    </row>
    <row r="22" spans="1:17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207"/>
      <c r="E22" s="207"/>
      <c r="F22" s="131" t="e">
        <f t="shared" si="1"/>
        <v>#DIV/0!</v>
      </c>
      <c r="G22" s="123" t="b">
        <f>IF(C22="G",VLOOKUP(F22,'Matrix 75 m'!$D$4:$E$7837,2,FALSE),IF(C22="T",VLOOKUP(F22,'Matrix 75 m'!$G$4:$H$7837,2,FALSE)))</f>
        <v>0</v>
      </c>
      <c r="H22" s="82" t="s">
        <v>61</v>
      </c>
      <c r="I22" s="207"/>
      <c r="J22" s="207"/>
      <c r="K22" s="76" t="e">
        <f t="shared" si="2"/>
        <v>#DIV/0!</v>
      </c>
      <c r="L22" s="124" t="b">
        <f>IF(H22="S",VLOOKUP(K22,'Matrix 75 m'!$A$4:$B$7837,2,FALSE))</f>
        <v>0</v>
      </c>
      <c r="M22" s="82"/>
      <c r="N22" s="78" t="str">
        <f t="shared" si="3"/>
        <v/>
      </c>
    </row>
    <row r="23" spans="1:17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207"/>
      <c r="F23" s="131" t="e">
        <f t="shared" si="1"/>
        <v>#DIV/0!</v>
      </c>
      <c r="G23" s="123" t="b">
        <f>IF(C23="G",VLOOKUP(F23,'Matrix 75 m'!$D$4:$E$7837,2,FALSE),IF(C23="T",VLOOKUP(F23,'Matrix 75 m'!$G$4:$H$7837,2,FALSE)))</f>
        <v>0</v>
      </c>
      <c r="H23" s="82" t="s">
        <v>61</v>
      </c>
      <c r="I23" s="207"/>
      <c r="J23" s="207"/>
      <c r="K23" s="76" t="e">
        <f t="shared" si="2"/>
        <v>#DIV/0!</v>
      </c>
      <c r="L23" s="124" t="b">
        <f>IF(H23="S",VLOOKUP(K23,'Matrix 75 m'!$A$4:$B$7837,2,FALSE))</f>
        <v>0</v>
      </c>
      <c r="M23" s="82"/>
      <c r="N23" s="78" t="str">
        <f t="shared" si="3"/>
        <v/>
      </c>
    </row>
    <row r="24" spans="1:17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207"/>
      <c r="E24" s="207"/>
      <c r="F24" s="131" t="e">
        <f t="shared" si="1"/>
        <v>#DIV/0!</v>
      </c>
      <c r="G24" s="123" t="b">
        <f>IF(C24="G",VLOOKUP(F24,'Matrix 75 m'!$D$4:$E$7837,2,FALSE),IF(C24="T",VLOOKUP(F24,'Matrix 75 m'!$G$4:$H$7837,2,FALSE)))</f>
        <v>0</v>
      </c>
      <c r="H24" s="82" t="s">
        <v>61</v>
      </c>
      <c r="I24" s="207"/>
      <c r="J24" s="207"/>
      <c r="K24" s="76" t="e">
        <f t="shared" si="2"/>
        <v>#DIV/0!</v>
      </c>
      <c r="L24" s="124" t="b">
        <f>IF(H24="S",VLOOKUP(K24,'Matrix 75 m'!$A$4:$B$7837,2,FALSE))</f>
        <v>0</v>
      </c>
      <c r="M24" s="82"/>
      <c r="N24" s="78" t="str">
        <f t="shared" si="3"/>
        <v/>
      </c>
    </row>
    <row r="25" spans="1:17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207"/>
      <c r="E25" s="207"/>
      <c r="F25" s="131" t="e">
        <f t="shared" si="1"/>
        <v>#DIV/0!</v>
      </c>
      <c r="G25" s="123" t="b">
        <f>IF(C25="G",VLOOKUP(F25,'Matrix 75 m'!$D$4:$E$7837,2,FALSE),IF(C25="T",VLOOKUP(F25,'Matrix 75 m'!$G$4:$H$7837,2,FALSE)))</f>
        <v>0</v>
      </c>
      <c r="H25" s="82" t="s">
        <v>61</v>
      </c>
      <c r="I25" s="207"/>
      <c r="J25" s="207"/>
      <c r="K25" s="76" t="e">
        <f t="shared" si="2"/>
        <v>#DIV/0!</v>
      </c>
      <c r="L25" s="124" t="b">
        <f>IF(H25="S",VLOOKUP(K25,'Matrix 75 m'!$A$4:$B$7837,2,FALSE))</f>
        <v>0</v>
      </c>
      <c r="M25" s="82"/>
      <c r="N25" s="78" t="str">
        <f t="shared" si="3"/>
        <v/>
      </c>
    </row>
    <row r="26" spans="1:17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207"/>
      <c r="E26" s="207"/>
      <c r="F26" s="131" t="e">
        <f t="shared" si="1"/>
        <v>#DIV/0!</v>
      </c>
      <c r="G26" s="123" t="b">
        <f>IF(C26="G",VLOOKUP(F26,'Matrix 75 m'!$D$4:$E$7837,2,FALSE),IF(C26="T",VLOOKUP(F26,'Matrix 75 m'!$G$4:$H$7837,2,FALSE)))</f>
        <v>0</v>
      </c>
      <c r="H26" s="82" t="s">
        <v>61</v>
      </c>
      <c r="I26" s="207"/>
      <c r="J26" s="207"/>
      <c r="K26" s="76" t="e">
        <f t="shared" si="2"/>
        <v>#DIV/0!</v>
      </c>
      <c r="L26" s="124" t="b">
        <f>IF(H26="S",VLOOKUP(K26,'Matrix 75 m'!$A$4:$B$7837,2,FALSE))</f>
        <v>0</v>
      </c>
      <c r="M26" s="82"/>
      <c r="N26" s="78" t="str">
        <f t="shared" si="3"/>
        <v/>
      </c>
    </row>
    <row r="27" spans="1:17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207"/>
      <c r="E27" s="207"/>
      <c r="F27" s="131" t="e">
        <f t="shared" si="1"/>
        <v>#DIV/0!</v>
      </c>
      <c r="G27" s="123" t="b">
        <f>IF(C27="G",VLOOKUP(F27,'Matrix 75 m'!$D$4:$E$7837,2,FALSE),IF(C27="T",VLOOKUP(F27,'Matrix 75 m'!$G$4:$H$7837,2,FALSE)))</f>
        <v>0</v>
      </c>
      <c r="H27" s="82" t="s">
        <v>61</v>
      </c>
      <c r="I27" s="207"/>
      <c r="J27" s="207"/>
      <c r="K27" s="76" t="e">
        <f t="shared" si="2"/>
        <v>#DIV/0!</v>
      </c>
      <c r="L27" s="124" t="b">
        <f>IF(H27="S",VLOOKUP(K27,'Matrix 75 m'!$A$4:$B$7837,2,FALSE))</f>
        <v>0</v>
      </c>
      <c r="M27" s="82"/>
      <c r="N27" s="78" t="str">
        <f t="shared" si="3"/>
        <v/>
      </c>
    </row>
    <row r="28" spans="1:17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207"/>
      <c r="E28" s="207"/>
      <c r="F28" s="131" t="e">
        <f t="shared" si="1"/>
        <v>#DIV/0!</v>
      </c>
      <c r="G28" s="123" t="b">
        <f>IF(C28="G",VLOOKUP(F28,'Matrix 75 m'!$D$4:$E$7837,2,FALSE),IF(C28="T",VLOOKUP(F28,'Matrix 75 m'!$G$4:$H$7837,2,FALSE)))</f>
        <v>0</v>
      </c>
      <c r="H28" s="82" t="s">
        <v>61</v>
      </c>
      <c r="I28" s="207"/>
      <c r="J28" s="207"/>
      <c r="K28" s="76" t="e">
        <f t="shared" si="2"/>
        <v>#DIV/0!</v>
      </c>
      <c r="L28" s="124" t="b">
        <f>IF(H28="S",VLOOKUP(K28,'Matrix 75 m'!$A$4:$B$7837,2,FALSE))</f>
        <v>0</v>
      </c>
      <c r="M28" s="82"/>
      <c r="N28" s="78" t="str">
        <f t="shared" si="3"/>
        <v/>
      </c>
    </row>
    <row r="29" spans="1:17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207"/>
      <c r="E29" s="207"/>
      <c r="F29" s="131" t="e">
        <f t="shared" si="1"/>
        <v>#DIV/0!</v>
      </c>
      <c r="G29" s="123" t="b">
        <f>IF(C29="G",VLOOKUP(F29,'Matrix 75 m'!$D$4:$E$7837,2,FALSE),IF(C29="T",VLOOKUP(F29,'Matrix 75 m'!$G$4:$H$7837,2,FALSE)))</f>
        <v>0</v>
      </c>
      <c r="H29" s="82" t="s">
        <v>61</v>
      </c>
      <c r="I29" s="207"/>
      <c r="J29" s="207"/>
      <c r="K29" s="76" t="e">
        <f t="shared" si="2"/>
        <v>#DIV/0!</v>
      </c>
      <c r="L29" s="124" t="b">
        <f>IF(H29="S",VLOOKUP(K29,'Matrix 75 m'!$A$4:$B$7837,2,FALSE))</f>
        <v>0</v>
      </c>
      <c r="M29" s="82"/>
      <c r="N29" s="78" t="str">
        <f t="shared" si="3"/>
        <v/>
      </c>
    </row>
    <row r="30" spans="1:17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207"/>
      <c r="E30" s="207"/>
      <c r="F30" s="131" t="e">
        <f t="shared" si="1"/>
        <v>#DIV/0!</v>
      </c>
      <c r="G30" s="123" t="b">
        <f>IF(C30="G",VLOOKUP(F30,'Matrix 75 m'!$D$4:$E$7837,2,FALSE),IF(C30="T",VLOOKUP(F30,'Matrix 75 m'!$G$4:$H$7837,2,FALSE)))</f>
        <v>0</v>
      </c>
      <c r="H30" s="82" t="s">
        <v>61</v>
      </c>
      <c r="I30" s="207"/>
      <c r="J30" s="207"/>
      <c r="K30" s="76" t="e">
        <f t="shared" si="2"/>
        <v>#DIV/0!</v>
      </c>
      <c r="L30" s="124" t="b">
        <f>IF(H30="S",VLOOKUP(K30,'Matrix 75 m'!$A$4:$B$7837,2,FALSE))</f>
        <v>0</v>
      </c>
      <c r="M30" s="82"/>
      <c r="N30" s="78" t="str">
        <f t="shared" si="3"/>
        <v/>
      </c>
    </row>
    <row r="31" spans="1:17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207"/>
      <c r="E31" s="207"/>
      <c r="F31" s="131" t="e">
        <f t="shared" si="1"/>
        <v>#DIV/0!</v>
      </c>
      <c r="G31" s="123" t="b">
        <f>IF(C31="G",VLOOKUP(F31,'Matrix 75 m'!$D$4:$E$7837,2,FALSE),IF(C31="T",VLOOKUP(F31,'Matrix 75 m'!$G$4:$H$7837,2,FALSE)))</f>
        <v>0</v>
      </c>
      <c r="H31" s="82" t="s">
        <v>61</v>
      </c>
      <c r="I31" s="207"/>
      <c r="J31" s="207"/>
      <c r="K31" s="76" t="e">
        <f t="shared" si="2"/>
        <v>#DIV/0!</v>
      </c>
      <c r="L31" s="124" t="b">
        <f>IF(H31="S",VLOOKUP(K31,'Matrix 75 m'!$A$4:$B$7837,2,FALSE))</f>
        <v>0</v>
      </c>
      <c r="M31" s="82"/>
      <c r="N31" s="78" t="str">
        <f t="shared" si="3"/>
        <v/>
      </c>
    </row>
    <row r="32" spans="1:17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207"/>
      <c r="E32" s="207"/>
      <c r="F32" s="131" t="e">
        <f t="shared" si="1"/>
        <v>#DIV/0!</v>
      </c>
      <c r="G32" s="123" t="b">
        <f>IF(C32="G",VLOOKUP(F32,'Matrix 75 m'!$D$4:$E$7837,2,FALSE),IF(C32="T",VLOOKUP(F32,'Matrix 75 m'!$G$4:$H$7837,2,FALSE)))</f>
        <v>0</v>
      </c>
      <c r="H32" s="82" t="s">
        <v>61</v>
      </c>
      <c r="I32" s="207"/>
      <c r="J32" s="207"/>
      <c r="K32" s="76" t="e">
        <f t="shared" si="2"/>
        <v>#DIV/0!</v>
      </c>
      <c r="L32" s="124" t="b">
        <f>IF(H32="S",VLOOKUP(K32,'Matrix 75 m'!$A$4:$B$7837,2,FALSE))</f>
        <v>0</v>
      </c>
      <c r="M32" s="82"/>
      <c r="N32" s="78" t="str">
        <f t="shared" si="3"/>
        <v/>
      </c>
    </row>
    <row r="33" spans="1:14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207"/>
      <c r="E33" s="207"/>
      <c r="F33" s="131" t="e">
        <f t="shared" si="1"/>
        <v>#DIV/0!</v>
      </c>
      <c r="G33" s="123" t="b">
        <f>IF(C33="G",VLOOKUP(F33,'Matrix 75 m'!$D$4:$E$7837,2,FALSE),IF(C33="T",VLOOKUP(F33,'Matrix 75 m'!$G$4:$H$7837,2,FALSE)))</f>
        <v>0</v>
      </c>
      <c r="H33" s="82" t="s">
        <v>61</v>
      </c>
      <c r="I33" s="207"/>
      <c r="J33" s="207"/>
      <c r="K33" s="76" t="e">
        <f t="shared" si="2"/>
        <v>#DIV/0!</v>
      </c>
      <c r="L33" s="124" t="b">
        <f>IF(H33="S",VLOOKUP(K33,'Matrix 75 m'!$A$4:$B$7837,2,FALSE))</f>
        <v>0</v>
      </c>
      <c r="M33" s="82"/>
      <c r="N33" s="78" t="str">
        <f t="shared" si="3"/>
        <v/>
      </c>
    </row>
    <row r="34" spans="1:14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207"/>
      <c r="E34" s="207"/>
      <c r="F34" s="131" t="e">
        <f t="shared" si="1"/>
        <v>#DIV/0!</v>
      </c>
      <c r="G34" s="123" t="b">
        <f>IF(C34="G",VLOOKUP(F34,'Matrix 75 m'!$D$4:$E$7837,2,FALSE),IF(C34="T",VLOOKUP(F34,'Matrix 75 m'!$G$4:$H$7837,2,FALSE)))</f>
        <v>0</v>
      </c>
      <c r="H34" s="82" t="s">
        <v>61</v>
      </c>
      <c r="I34" s="207"/>
      <c r="J34" s="207"/>
      <c r="K34" s="76" t="e">
        <f t="shared" si="2"/>
        <v>#DIV/0!</v>
      </c>
      <c r="L34" s="124" t="b">
        <f>IF(H34="S",VLOOKUP(K34,'Matrix 75 m'!$A$4:$B$7837,2,FALSE))</f>
        <v>0</v>
      </c>
      <c r="M34" s="82"/>
      <c r="N34" s="78" t="str">
        <f t="shared" si="3"/>
        <v/>
      </c>
    </row>
    <row r="35" spans="1:14">
      <c r="A35" s="71"/>
      <c r="B35" s="71"/>
      <c r="C35" s="71"/>
      <c r="D35" s="71"/>
      <c r="E35" s="71"/>
      <c r="F35" s="71"/>
      <c r="G35" s="71"/>
      <c r="H35" s="71"/>
      <c r="I35" s="299"/>
      <c r="J35" s="299"/>
      <c r="K35" s="71"/>
      <c r="L35" s="71"/>
      <c r="M35" s="71"/>
    </row>
  </sheetData>
  <sortState ref="A5:N10">
    <sortCondition descending="1" ref="N5:N10"/>
  </sortState>
  <mergeCells count="3">
    <mergeCell ref="P1:W1"/>
    <mergeCell ref="B2:F2"/>
    <mergeCell ref="A1:M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30" t="s">
        <v>17</v>
      </c>
      <c r="B1" s="331"/>
      <c r="C1" s="331"/>
      <c r="D1" s="331"/>
      <c r="E1" s="331"/>
      <c r="F1" s="331"/>
      <c r="G1" s="331"/>
      <c r="H1" s="331"/>
      <c r="I1" s="332"/>
      <c r="L1" s="323"/>
      <c r="M1" s="323"/>
      <c r="N1" s="323"/>
      <c r="O1" s="323"/>
      <c r="P1" s="323"/>
      <c r="Q1" s="323"/>
      <c r="R1" s="323"/>
      <c r="S1" s="323"/>
    </row>
    <row r="2" spans="1:20" ht="16.5" customHeight="1">
      <c r="A2" s="71"/>
      <c r="B2" s="329" t="s">
        <v>99</v>
      </c>
      <c r="C2" s="329"/>
      <c r="D2" s="329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10</v>
      </c>
      <c r="B5" s="129" t="str">
        <f>RYTTERDATA!B5</f>
        <v>Heidi Hedegård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11</v>
      </c>
      <c r="B6" s="129" t="str">
        <f>RYTTERDATA!B6</f>
        <v>Emilie Steinmejer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 t="str">
        <f t="shared" si="0"/>
        <v/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30" t="s">
        <v>17</v>
      </c>
      <c r="B1" s="331"/>
      <c r="C1" s="331"/>
      <c r="D1" s="331"/>
      <c r="E1" s="331"/>
      <c r="F1" s="331"/>
      <c r="G1" s="331"/>
      <c r="H1" s="331"/>
      <c r="I1" s="332"/>
      <c r="L1" s="323"/>
      <c r="M1" s="323"/>
      <c r="N1" s="323"/>
      <c r="O1" s="323"/>
      <c r="P1" s="323"/>
      <c r="Q1" s="323"/>
      <c r="R1" s="323"/>
      <c r="S1" s="323"/>
    </row>
    <row r="2" spans="1:20" ht="16.5" customHeight="1">
      <c r="A2" s="71"/>
      <c r="B2" s="329" t="s">
        <v>182</v>
      </c>
      <c r="C2" s="329"/>
      <c r="D2" s="329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10</v>
      </c>
      <c r="B5" s="129" t="str">
        <f>RYTTERDATA!B5</f>
        <v>Heidi Hedegård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11</v>
      </c>
      <c r="B6" s="129" t="str">
        <f>RYTTERDATA!B6</f>
        <v>Emilie Steinmejer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 t="str">
        <f t="shared" si="0"/>
        <v/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zoomScale="115" zoomScaleNormal="115" workbookViewId="0">
      <selection activeCell="E9" sqref="E9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customWidth="1"/>
    <col min="6" max="6" width="10.140625" style="233" customWidth="1"/>
    <col min="7" max="7" width="10" style="233" customWidth="1"/>
    <col min="8" max="8" width="8.5703125" style="233" bestFit="1" customWidth="1"/>
    <col min="9" max="9" width="10.140625" style="233" customWidth="1"/>
    <col min="10" max="10" width="7.28515625" style="233" customWidth="1"/>
    <col min="11" max="11" width="7.140625" style="233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33" t="s">
        <v>34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262"/>
      <c r="N1" s="262"/>
    </row>
    <row r="2" spans="1:16" ht="15" customHeight="1">
      <c r="A2" s="333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262"/>
      <c r="N2" s="262"/>
    </row>
    <row r="3" spans="1:16">
      <c r="B3" s="233" t="s">
        <v>180</v>
      </c>
      <c r="E3" s="268">
        <f>SUM(E5:E34)-(SUM('POR hele udreg.'!M5:M34))</f>
        <v>0</v>
      </c>
      <c r="F3" s="268">
        <f>SUM(F5:F34)-SUM('MA udregning 75 m'!N5:N34)-SUM('MA udregning 100 m'!J5:J34)-SUM('MA udregning 150 m'!J5:J34)</f>
        <v>0</v>
      </c>
      <c r="G3" s="268">
        <f>SUM(G5:G34)-SUM('PTV Udreg.'!AE8:AE37)</f>
        <v>0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5"/>
      <c r="N4" s="336"/>
      <c r="O4" s="336"/>
      <c r="P4" s="336"/>
    </row>
    <row r="5" spans="1:16">
      <c r="A5" s="85">
        <f>VLOOKUP(RYTTERDATA!A5,RYTTERDATA!A5,1,FALSE)</f>
        <v>10</v>
      </c>
      <c r="B5" s="275" t="str">
        <f>VLOOKUP(A5,RYTTERDATA!$A$5:$B$34,2,FALSE)</f>
        <v>Heidi Hedegård</v>
      </c>
      <c r="C5" s="275" t="str">
        <f>VLOOKUP(A5,RYTTERDATA!$A$5:$C$34,3,FALSE)</f>
        <v>Sira</v>
      </c>
      <c r="D5" s="85" t="s">
        <v>187</v>
      </c>
      <c r="E5" s="276">
        <v>204</v>
      </c>
      <c r="F5" s="277">
        <v>4</v>
      </c>
      <c r="G5" s="278">
        <f>IF(B5&lt;&gt;0,(VLOOKUP(A5,'PTV Udreg.'!$J$8:$AG$37,22,FALSE)),"")</f>
        <v>88</v>
      </c>
      <c r="H5" s="279">
        <f t="shared" ref="H5:H10" si="0">IF(B5&lt;&gt;0,(SUM(E5:G5)),"")</f>
        <v>296</v>
      </c>
      <c r="I5" s="280">
        <f>IF(B5&lt;&gt;0,RANK(E5,$E$5:$E$34),"")</f>
        <v>1</v>
      </c>
      <c r="J5" s="280">
        <f>IF(B5&lt;&gt;0,RANK(F5,F$5:F$34),"")</f>
        <v>2</v>
      </c>
      <c r="K5" s="280">
        <f>IF(B5&lt;&gt;0,RANK(G5,G$5:G$34),"")</f>
        <v>1</v>
      </c>
      <c r="L5" s="280">
        <f>IF(B5&lt;&gt;0,RANK(H5,H$5:H$34),"")</f>
        <v>2</v>
      </c>
      <c r="M5" s="263"/>
      <c r="N5" s="264"/>
    </row>
    <row r="6" spans="1:16">
      <c r="A6" s="85">
        <f>VLOOKUP(RYTTERDATA!A6,RYTTERDATA!A6,1,FALSE)</f>
        <v>11</v>
      </c>
      <c r="B6" s="275" t="str">
        <f>VLOOKUP(A6,RYTTERDATA!$A$5:$B$34,2,FALSE)</f>
        <v>Emilie Steinmejer</v>
      </c>
      <c r="C6" s="275" t="str">
        <f>VLOOKUP(A6,RYTTERDATA!$A$5:$C$34,3,FALSE)</f>
        <v>Kutar</v>
      </c>
      <c r="D6" s="85" t="s">
        <v>187</v>
      </c>
      <c r="E6" s="276">
        <v>204</v>
      </c>
      <c r="F6" s="277">
        <v>32</v>
      </c>
      <c r="G6" s="278">
        <f>IF(B6&lt;&gt;0,(VLOOKUP(A6,'PTV Udreg.'!$J$8:$AG$37,22,FALSE)),"")</f>
        <v>66</v>
      </c>
      <c r="H6" s="279">
        <f t="shared" si="0"/>
        <v>302</v>
      </c>
      <c r="I6" s="280">
        <f t="shared" ref="I6:I34" si="1">IF(B6&lt;&gt;0,RANK(E6,$E$5:$E$34),"")</f>
        <v>1</v>
      </c>
      <c r="J6" s="280">
        <f t="shared" ref="J6:J34" si="2">IF(B6&lt;&gt;0,RANK(F6,F$5:F$34),"")</f>
        <v>1</v>
      </c>
      <c r="K6" s="280">
        <f t="shared" ref="K6:K34" si="3">IF(B6&lt;&gt;0,RANK(G6,G$5:G$34),"")</f>
        <v>2</v>
      </c>
      <c r="L6" s="280">
        <f t="shared" ref="L6:L34" si="4">IF(B6&lt;&gt;0,RANK(H6,H$5:H$34),"")</f>
        <v>1</v>
      </c>
      <c r="M6" s="265"/>
      <c r="N6" s="266"/>
    </row>
    <row r="7" spans="1:16">
      <c r="A7" s="85">
        <f>VLOOKUP(RYTTERDATA!A7,RYTTERDATA!A7,1,FALSE)</f>
        <v>0</v>
      </c>
      <c r="B7" s="275">
        <f>VLOOKUP(A7,RYTTERDATA!$A$5:$B$34,2,FALSE)</f>
        <v>0</v>
      </c>
      <c r="C7" s="275">
        <f>VLOOKUP(A7,RYTTERDATA!$A$5:$C$34,3,FALSE)</f>
        <v>0</v>
      </c>
      <c r="D7" s="85">
        <f>VLOOKUP(A7,RYTTERDATA!$A$5:$D$34,4,FALSE)</f>
        <v>0</v>
      </c>
      <c r="E7" s="276" t="str">
        <f>IF(B7&lt;&gt;0,(VLOOKUP(A7,'POR hele udreg.'!$A$5:$M$34,13,FALSE)),"")</f>
        <v/>
      </c>
      <c r="F7" s="277" t="str">
        <f>IF(B7&lt;&gt;0,(VLOOKUP(A7,'MA udregning 75 m'!$A$4:$N$34,10,FALSE)+VLOOKUP(A7,'MA udregning 100 m'!$A$4:$J$34,10,FALSE)+VLOOKUP(A7,'MA udregning 150 m'!$A$5:$J$34,10,FALSE)),"")</f>
        <v/>
      </c>
      <c r="G7" s="278" t="str">
        <f>IF(B7&lt;&gt;0,(VLOOKUP(A7,'PTV Udreg.'!$J$8:$AG$37,22,FALSE)),"")</f>
        <v/>
      </c>
      <c r="H7" s="279" t="str">
        <f t="shared" si="0"/>
        <v/>
      </c>
      <c r="I7" s="280" t="str">
        <f t="shared" si="1"/>
        <v/>
      </c>
      <c r="J7" s="280" t="str">
        <f t="shared" si="2"/>
        <v/>
      </c>
      <c r="K7" s="280" t="str">
        <f t="shared" si="3"/>
        <v/>
      </c>
      <c r="L7" s="280" t="str">
        <f t="shared" si="4"/>
        <v/>
      </c>
      <c r="M7" s="265"/>
      <c r="N7" s="266"/>
    </row>
    <row r="8" spans="1:16">
      <c r="A8" s="85">
        <f>VLOOKUP(RYTTERDATA!A8,RYTTERDATA!A8,1,FALSE)</f>
        <v>0</v>
      </c>
      <c r="B8" s="275">
        <f>VLOOKUP(A8,RYTTERDATA!$A$5:$B$34,2,FALSE)</f>
        <v>0</v>
      </c>
      <c r="C8" s="275">
        <f>VLOOKUP(A8,RYTTERDATA!$A$5:$C$34,3,FALSE)</f>
        <v>0</v>
      </c>
      <c r="D8" s="85">
        <f>VLOOKUP(A8,RYTTERDATA!$A$5:$D$34,4,FALSE)</f>
        <v>0</v>
      </c>
      <c r="E8" s="276" t="str">
        <f>IF(B8&lt;&gt;0,(VLOOKUP(A8,'POR hele udreg.'!$A$5:$M$34,13,FALSE)),"")</f>
        <v/>
      </c>
      <c r="F8" s="277" t="str">
        <f>IF(B8&lt;&gt;0,(VLOOKUP(A8,'MA udregning 75 m'!$A$4:$N$34,10,FALSE)+VLOOKUP(A8,'MA udregning 100 m'!$A$4:$J$34,10,FALSE)+VLOOKUP(A8,'MA udregning 150 m'!$A$5:$J$34,10,FALSE)),"")</f>
        <v/>
      </c>
      <c r="G8" s="278" t="str">
        <f>IF(B8&lt;&gt;0,(VLOOKUP(A8,'PTV Udreg.'!$J$8:$AG$37,22,FALSE)),"")</f>
        <v/>
      </c>
      <c r="H8" s="279" t="str">
        <f t="shared" si="0"/>
        <v/>
      </c>
      <c r="I8" s="280" t="str">
        <f t="shared" si="1"/>
        <v/>
      </c>
      <c r="J8" s="280" t="str">
        <f t="shared" si="2"/>
        <v/>
      </c>
      <c r="K8" s="280" t="str">
        <f t="shared" si="3"/>
        <v/>
      </c>
      <c r="L8" s="280" t="str">
        <f t="shared" si="4"/>
        <v/>
      </c>
      <c r="M8" s="265"/>
      <c r="N8" s="266"/>
    </row>
    <row r="9" spans="1:16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 t="str">
        <f>IF(B9&lt;&gt;0,(VLOOKUP(A9,'POR hele udreg.'!$A$5:$M$34,13,FALSE)),"")</f>
        <v/>
      </c>
      <c r="F9" s="277" t="str">
        <f>IF(B9&lt;&gt;0,(VLOOKUP(A9,'MA udregning 75 m'!$A$4:$N$34,10,FALSE)+VLOOKUP(A9,'MA udregning 100 m'!$A$4:$J$34,10,FALSE)+VLOOKUP(A9,'MA udregning 150 m'!$A$5:$J$34,10,FALSE)),"")</f>
        <v/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5"/>
      <c r="N9" s="266"/>
    </row>
    <row r="10" spans="1:16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m'!$A$4:$N$34,10,FALSE)+VLOOKUP(A10,'MA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 t="shared" si="1"/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3"/>
      <c r="N10" s="266"/>
    </row>
    <row r="11" spans="1:16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m'!$A$4:$N$34,10,FALSE)+VLOOKUP(A11,'MA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si="1"/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m'!$A$4:$N$34,10,FALSE)+VLOOKUP(A12,'MA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m'!$A$4:$N$34,10,FALSE)+VLOOKUP(A13,'MA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m'!$A$4:$N$34,10,FALSE)+VLOOKUP(A14,'MA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m'!$A$4:$N$34,10,FALSE)+VLOOKUP(A15,'MA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m'!$A$4:$N$34,10,FALSE)+VLOOKUP(A16,'MA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m'!$A$4:$N$34,10,FALSE)+VLOOKUP(A17,'MA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m'!$A$4:$N$34,10,FALSE)+VLOOKUP(A18,'MA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m'!$A$4:$N$34,10,FALSE)+VLOOKUP(A19,'MA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m'!$A$4:$N$34,10,FALSE)+VLOOKUP(A20,'MA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m'!$A$4:$N$34,10,FALSE)+VLOOKUP(A21,'MA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m'!$A$4:$N$34,10,FALSE)+VLOOKUP(A22,'MA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m'!$A$4:$N$34,10,FALSE)+VLOOKUP(A23,'MA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m'!$A$4:$N$34,10,FALSE)+VLOOKUP(A24,'MA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m'!$A$4:$N$34,10,FALSE)+VLOOKUP(A25,'MA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m'!$A$4:$N$34,10,FALSE)+VLOOKUP(A26,'MA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m'!$A$4:$N$34,10,FALSE)+VLOOKUP(A27,'MA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m'!$A$4:$N$34,10,FALSE)+VLOOKUP(A28,'MA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m'!$A$4:$N$34,10,FALSE)+VLOOKUP(A29,'MA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m'!$A$4:$N$34,10,FALSE)+VLOOKUP(A30,'MA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m'!$A$4:$N$34,10,FALSE)+VLOOKUP(A31,'MA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m'!$A$4:$N$34,10,FALSE)+VLOOKUP(A32,'MA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m'!$A$4:$N$34,10,FALSE)+VLOOKUP(A33,'MA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m'!$A$4:$N$34,10,FALSE)+VLOOKUP(A34,'MA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3313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2" zoomScaleNormal="100" workbookViewId="0">
      <selection activeCell="E13" sqref="E13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6" t="s">
        <v>190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6">
      <c r="B2" s="308" t="s">
        <v>5</v>
      </c>
      <c r="C2" s="308"/>
      <c r="D2" s="308"/>
      <c r="E2" s="90">
        <v>3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8"/>
      <c r="C3" s="308"/>
      <c r="D3" s="308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8"/>
      <c r="C4" s="308"/>
      <c r="D4" s="308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8" t="s">
        <v>7</v>
      </c>
      <c r="C5" s="308"/>
      <c r="D5" s="308"/>
      <c r="E5" s="90">
        <v>6</v>
      </c>
      <c r="F5" s="109"/>
      <c r="G5" s="110">
        <f>E2/E5</f>
        <v>0.5</v>
      </c>
      <c r="H5" s="111">
        <f>G5*3600</f>
        <v>1800</v>
      </c>
      <c r="I5" s="227">
        <f>IFERROR(((H5/86400)+J3),"")</f>
        <v>2.0833333333333332E-2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>
        <f>ROUNDDOWN(I5*1440,0)/1440</f>
        <v>2.0833333333333332E-2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5" t="s">
        <v>173</v>
      </c>
      <c r="J9" s="305"/>
      <c r="K9" s="305"/>
      <c r="L9" s="305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10</v>
      </c>
      <c r="B11" s="214" t="str">
        <f>VLOOKUP(A11,RYTTERDATA!$A$4:$B$34,2,FALSE)</f>
        <v>Heidi Hedegård</v>
      </c>
      <c r="C11" s="166">
        <v>0.4861111111111111</v>
      </c>
      <c r="D11" s="89">
        <f>C11+$I$7</f>
        <v>0.50694444444444442</v>
      </c>
      <c r="E11" s="97">
        <v>0.51180555555555551</v>
      </c>
      <c r="F11" s="104">
        <f>E11-C11</f>
        <v>2.5694444444444409E-2</v>
      </c>
      <c r="G11" s="105">
        <f>IF($I$7="","",IF(F11&lt;=$I$7,$I$7-F11,F11-$I$7))</f>
        <v>4.8611111111110765E-3</v>
      </c>
      <c r="H11" s="225">
        <f>ROUNDDOWN(G11*1440,0)</f>
        <v>6</v>
      </c>
      <c r="I11" s="144"/>
      <c r="J11" s="144"/>
      <c r="K11" s="144"/>
      <c r="L11" s="148"/>
      <c r="M11" s="107">
        <f>IF(B11&lt;&gt;0,H11+(I11*30)+(J11*10)+(K11*5)+(L11*50),"")</f>
        <v>6</v>
      </c>
      <c r="N11" s="92"/>
      <c r="O11" s="92"/>
      <c r="P11" s="92"/>
    </row>
    <row r="12" spans="1:16" ht="20.100000000000001" customHeight="1">
      <c r="A12" s="85">
        <f>VLOOKUP(RYTTERDATA!A6,RYTTERDATA!A6,1,FALSE)</f>
        <v>11</v>
      </c>
      <c r="B12" s="214" t="str">
        <f>VLOOKUP(A12,RYTTERDATA!$A$4:$B$34,2,FALSE)</f>
        <v>Emilie Steinmejer</v>
      </c>
      <c r="C12" s="166">
        <v>0.4861111111111111</v>
      </c>
      <c r="D12" s="89">
        <f t="shared" ref="D12:D40" si="0">C12+$I$7</f>
        <v>0.50694444444444442</v>
      </c>
      <c r="E12" s="97">
        <v>0.51180555555555551</v>
      </c>
      <c r="F12" s="104">
        <f t="shared" ref="F12:F40" si="1">E12-C12</f>
        <v>2.5694444444444409E-2</v>
      </c>
      <c r="G12" s="105">
        <f t="shared" ref="G12:G40" si="2">IF($I$7="","",IF(F12&lt;=$I$7,$I$7-F12,F12-$I$7))</f>
        <v>4.8611111111110765E-3</v>
      </c>
      <c r="H12" s="225">
        <f t="shared" ref="H12:H40" si="3">ROUNDDOWN(G12*1440,0)</f>
        <v>6</v>
      </c>
      <c r="I12" s="98"/>
      <c r="J12" s="98"/>
      <c r="K12" s="98"/>
      <c r="L12" s="149"/>
      <c r="M12" s="107">
        <f>IF(B12&lt;&gt;0,H12+(I12*30)+(J12*10)+(K12*5)+(L12*50),"")</f>
        <v>6</v>
      </c>
      <c r="N12" s="92"/>
      <c r="O12" s="92"/>
      <c r="P12" s="92"/>
    </row>
    <row r="13" spans="1:16" ht="20.100000000000001" customHeight="1">
      <c r="A13" s="85">
        <f>VLOOKUP(RYTTERDATA!A7,RYTTERDATA!A7,1,FALSE)</f>
        <v>0</v>
      </c>
      <c r="B13" s="214">
        <f>VLOOKUP(A13,RYTTERDATA!$A$4:$B$34,2,FALSE)</f>
        <v>0</v>
      </c>
      <c r="C13" s="166"/>
      <c r="D13" s="89">
        <f t="shared" si="0"/>
        <v>2.0833333333333332E-2</v>
      </c>
      <c r="E13" s="97"/>
      <c r="F13" s="104">
        <f t="shared" si="1"/>
        <v>0</v>
      </c>
      <c r="G13" s="105">
        <f t="shared" si="2"/>
        <v>2.0833333333333332E-2</v>
      </c>
      <c r="H13" s="225">
        <f t="shared" si="3"/>
        <v>30</v>
      </c>
      <c r="I13" s="98"/>
      <c r="J13" s="98"/>
      <c r="K13" s="98"/>
      <c r="L13" s="149"/>
      <c r="M13" s="107" t="str">
        <f t="shared" ref="M13:M40" si="4">IF(B13&lt;&gt;0,H13+(I13*30)+(J13*10)+(K13*5)+(L13*50),"")</f>
        <v/>
      </c>
    </row>
    <row r="14" spans="1:16" ht="20.100000000000001" customHeight="1">
      <c r="A14" s="85">
        <f>VLOOKUP(RYTTERDATA!A8,RYTTERDATA!A8,1,FALSE)</f>
        <v>0</v>
      </c>
      <c r="B14" s="214">
        <f>VLOOKUP(A14,RYTTERDATA!$A$4:$B$34,2,FALSE)</f>
        <v>0</v>
      </c>
      <c r="C14" s="166"/>
      <c r="D14" s="89">
        <f t="shared" si="0"/>
        <v>2.0833333333333332E-2</v>
      </c>
      <c r="E14" s="97"/>
      <c r="F14" s="104">
        <f t="shared" si="1"/>
        <v>0</v>
      </c>
      <c r="G14" s="105">
        <f t="shared" si="2"/>
        <v>2.0833333333333332E-2</v>
      </c>
      <c r="H14" s="225">
        <f t="shared" si="3"/>
        <v>30</v>
      </c>
      <c r="I14" s="98"/>
      <c r="J14" s="98"/>
      <c r="K14" s="98"/>
      <c r="L14" s="149"/>
      <c r="M14" s="107" t="str">
        <f t="shared" si="4"/>
        <v/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>
        <f t="shared" si="0"/>
        <v>2.0833333333333332E-2</v>
      </c>
      <c r="E15" s="97"/>
      <c r="F15" s="104">
        <f t="shared" si="1"/>
        <v>0</v>
      </c>
      <c r="G15" s="105">
        <f t="shared" si="2"/>
        <v>2.0833333333333332E-2</v>
      </c>
      <c r="H15" s="225">
        <f t="shared" si="3"/>
        <v>30</v>
      </c>
      <c r="I15" s="98"/>
      <c r="J15" s="98"/>
      <c r="K15" s="98"/>
      <c r="L15" s="149"/>
      <c r="M15" s="107" t="str">
        <f t="shared" si="4"/>
        <v/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>
        <f t="shared" si="0"/>
        <v>2.0833333333333332E-2</v>
      </c>
      <c r="E16" s="97"/>
      <c r="F16" s="104">
        <f t="shared" si="1"/>
        <v>0</v>
      </c>
      <c r="G16" s="105">
        <f t="shared" si="2"/>
        <v>2.0833333333333332E-2</v>
      </c>
      <c r="H16" s="225">
        <f t="shared" si="3"/>
        <v>30</v>
      </c>
      <c r="I16" s="98"/>
      <c r="J16" s="98"/>
      <c r="K16" s="98"/>
      <c r="L16" s="149"/>
      <c r="M16" s="107" t="str">
        <f t="shared" si="4"/>
        <v/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>
        <f t="shared" si="0"/>
        <v>2.0833333333333332E-2</v>
      </c>
      <c r="E17" s="97"/>
      <c r="F17" s="104">
        <f t="shared" si="1"/>
        <v>0</v>
      </c>
      <c r="G17" s="105">
        <f t="shared" si="2"/>
        <v>2.0833333333333332E-2</v>
      </c>
      <c r="H17" s="225">
        <f t="shared" si="3"/>
        <v>30</v>
      </c>
      <c r="I17" s="98"/>
      <c r="J17" s="98"/>
      <c r="K17" s="98"/>
      <c r="L17" s="149"/>
      <c r="M17" s="107" t="str">
        <f t="shared" si="4"/>
        <v/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>
        <f t="shared" si="0"/>
        <v>2.0833333333333332E-2</v>
      </c>
      <c r="E18" s="97"/>
      <c r="F18" s="104">
        <f t="shared" si="1"/>
        <v>0</v>
      </c>
      <c r="G18" s="105">
        <f t="shared" si="2"/>
        <v>2.0833333333333332E-2</v>
      </c>
      <c r="H18" s="225">
        <f t="shared" si="3"/>
        <v>30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>
        <f t="shared" si="0"/>
        <v>2.0833333333333332E-2</v>
      </c>
      <c r="E19" s="97"/>
      <c r="F19" s="104">
        <f t="shared" si="1"/>
        <v>0</v>
      </c>
      <c r="G19" s="105">
        <f t="shared" si="2"/>
        <v>2.0833333333333332E-2</v>
      </c>
      <c r="H19" s="225">
        <f t="shared" si="3"/>
        <v>30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>
        <f t="shared" si="0"/>
        <v>2.0833333333333332E-2</v>
      </c>
      <c r="E20" s="97"/>
      <c r="F20" s="104">
        <f t="shared" si="1"/>
        <v>0</v>
      </c>
      <c r="G20" s="105">
        <f t="shared" si="2"/>
        <v>2.0833333333333332E-2</v>
      </c>
      <c r="H20" s="225">
        <f t="shared" si="3"/>
        <v>30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>
        <f t="shared" si="0"/>
        <v>2.0833333333333332E-2</v>
      </c>
      <c r="E21" s="97"/>
      <c r="F21" s="104">
        <f t="shared" si="1"/>
        <v>0</v>
      </c>
      <c r="G21" s="105">
        <f t="shared" si="2"/>
        <v>2.0833333333333332E-2</v>
      </c>
      <c r="H21" s="225">
        <f t="shared" si="3"/>
        <v>30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>
        <f t="shared" si="0"/>
        <v>2.0833333333333332E-2</v>
      </c>
      <c r="E22" s="97"/>
      <c r="F22" s="104">
        <f t="shared" si="1"/>
        <v>0</v>
      </c>
      <c r="G22" s="105">
        <f t="shared" si="2"/>
        <v>2.0833333333333332E-2</v>
      </c>
      <c r="H22" s="225">
        <f t="shared" si="3"/>
        <v>30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>
        <f t="shared" si="0"/>
        <v>2.0833333333333332E-2</v>
      </c>
      <c r="E23" s="97"/>
      <c r="F23" s="104">
        <f t="shared" si="1"/>
        <v>0</v>
      </c>
      <c r="G23" s="105">
        <f t="shared" si="2"/>
        <v>2.0833333333333332E-2</v>
      </c>
      <c r="H23" s="225">
        <f t="shared" si="3"/>
        <v>30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>
        <f t="shared" si="0"/>
        <v>2.0833333333333332E-2</v>
      </c>
      <c r="E24" s="97"/>
      <c r="F24" s="104">
        <f t="shared" si="1"/>
        <v>0</v>
      </c>
      <c r="G24" s="105">
        <f t="shared" si="2"/>
        <v>2.0833333333333332E-2</v>
      </c>
      <c r="H24" s="225">
        <f t="shared" si="3"/>
        <v>30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>
        <f t="shared" si="0"/>
        <v>2.0833333333333332E-2</v>
      </c>
      <c r="E25" s="97"/>
      <c r="F25" s="104">
        <f t="shared" si="1"/>
        <v>0</v>
      </c>
      <c r="G25" s="105">
        <f t="shared" si="2"/>
        <v>2.0833333333333332E-2</v>
      </c>
      <c r="H25" s="225">
        <f t="shared" si="3"/>
        <v>30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>
        <f t="shared" si="0"/>
        <v>2.0833333333333332E-2</v>
      </c>
      <c r="E26" s="97"/>
      <c r="F26" s="104">
        <f t="shared" si="1"/>
        <v>0</v>
      </c>
      <c r="G26" s="105">
        <f t="shared" si="2"/>
        <v>2.0833333333333332E-2</v>
      </c>
      <c r="H26" s="225">
        <f t="shared" si="3"/>
        <v>30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>
        <f t="shared" si="0"/>
        <v>2.0833333333333332E-2</v>
      </c>
      <c r="E27" s="97"/>
      <c r="F27" s="104">
        <f t="shared" si="1"/>
        <v>0</v>
      </c>
      <c r="G27" s="105">
        <f t="shared" si="2"/>
        <v>2.0833333333333332E-2</v>
      </c>
      <c r="H27" s="225">
        <f t="shared" si="3"/>
        <v>30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>
        <f t="shared" si="0"/>
        <v>2.0833333333333332E-2</v>
      </c>
      <c r="E28" s="97"/>
      <c r="F28" s="104">
        <f>E28-C28</f>
        <v>0</v>
      </c>
      <c r="G28" s="105">
        <f t="shared" si="2"/>
        <v>2.0833333333333332E-2</v>
      </c>
      <c r="H28" s="225">
        <f t="shared" si="3"/>
        <v>30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>
        <f t="shared" si="0"/>
        <v>2.0833333333333332E-2</v>
      </c>
      <c r="E29" s="97"/>
      <c r="F29" s="104">
        <f t="shared" si="1"/>
        <v>0</v>
      </c>
      <c r="G29" s="105">
        <f t="shared" si="2"/>
        <v>2.0833333333333332E-2</v>
      </c>
      <c r="H29" s="225">
        <f t="shared" si="3"/>
        <v>30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>
        <f t="shared" si="0"/>
        <v>2.0833333333333332E-2</v>
      </c>
      <c r="E30" s="97"/>
      <c r="F30" s="104">
        <f t="shared" si="1"/>
        <v>0</v>
      </c>
      <c r="G30" s="105">
        <f t="shared" si="2"/>
        <v>2.0833333333333332E-2</v>
      </c>
      <c r="H30" s="225">
        <f t="shared" si="3"/>
        <v>30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>
        <f t="shared" si="0"/>
        <v>2.0833333333333332E-2</v>
      </c>
      <c r="E31" s="97"/>
      <c r="F31" s="104">
        <f t="shared" si="1"/>
        <v>0</v>
      </c>
      <c r="G31" s="105">
        <f t="shared" si="2"/>
        <v>2.0833333333333332E-2</v>
      </c>
      <c r="H31" s="225">
        <f t="shared" si="3"/>
        <v>30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>
        <f t="shared" si="0"/>
        <v>2.0833333333333332E-2</v>
      </c>
      <c r="E32" s="97"/>
      <c r="F32" s="104">
        <f t="shared" si="1"/>
        <v>0</v>
      </c>
      <c r="G32" s="105">
        <f t="shared" si="2"/>
        <v>2.0833333333333332E-2</v>
      </c>
      <c r="H32" s="225">
        <f t="shared" si="3"/>
        <v>30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>
        <f t="shared" si="0"/>
        <v>2.0833333333333332E-2</v>
      </c>
      <c r="E33" s="97"/>
      <c r="F33" s="104">
        <f t="shared" si="1"/>
        <v>0</v>
      </c>
      <c r="G33" s="105">
        <f t="shared" si="2"/>
        <v>2.0833333333333332E-2</v>
      </c>
      <c r="H33" s="225">
        <f t="shared" si="3"/>
        <v>30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>
        <f t="shared" si="0"/>
        <v>2.0833333333333332E-2</v>
      </c>
      <c r="E34" s="97"/>
      <c r="F34" s="104">
        <f t="shared" si="1"/>
        <v>0</v>
      </c>
      <c r="G34" s="105">
        <f t="shared" si="2"/>
        <v>2.0833333333333332E-2</v>
      </c>
      <c r="H34" s="225">
        <f t="shared" si="3"/>
        <v>30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>
        <f t="shared" si="0"/>
        <v>2.0833333333333332E-2</v>
      </c>
      <c r="E35" s="97"/>
      <c r="F35" s="104">
        <f t="shared" si="1"/>
        <v>0</v>
      </c>
      <c r="G35" s="105">
        <f t="shared" si="2"/>
        <v>2.0833333333333332E-2</v>
      </c>
      <c r="H35" s="225">
        <f t="shared" si="3"/>
        <v>30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>
        <f t="shared" si="0"/>
        <v>2.0833333333333332E-2</v>
      </c>
      <c r="E36" s="97"/>
      <c r="F36" s="104">
        <f t="shared" si="1"/>
        <v>0</v>
      </c>
      <c r="G36" s="105">
        <f t="shared" si="2"/>
        <v>2.0833333333333332E-2</v>
      </c>
      <c r="H36" s="225">
        <f t="shared" si="3"/>
        <v>30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>
        <f t="shared" si="0"/>
        <v>2.0833333333333332E-2</v>
      </c>
      <c r="E37" s="97"/>
      <c r="F37" s="104">
        <f t="shared" si="1"/>
        <v>0</v>
      </c>
      <c r="G37" s="105">
        <f t="shared" si="2"/>
        <v>2.0833333333333332E-2</v>
      </c>
      <c r="H37" s="225">
        <f t="shared" si="3"/>
        <v>30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>
        <f t="shared" si="0"/>
        <v>2.0833333333333332E-2</v>
      </c>
      <c r="E38" s="97"/>
      <c r="F38" s="104">
        <f t="shared" si="1"/>
        <v>0</v>
      </c>
      <c r="G38" s="105">
        <f t="shared" si="2"/>
        <v>2.0833333333333332E-2</v>
      </c>
      <c r="H38" s="225">
        <f t="shared" si="3"/>
        <v>30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>
        <f t="shared" si="0"/>
        <v>2.0833333333333332E-2</v>
      </c>
      <c r="E39" s="97"/>
      <c r="F39" s="104">
        <f t="shared" si="1"/>
        <v>0</v>
      </c>
      <c r="G39" s="105">
        <f t="shared" si="2"/>
        <v>2.0833333333333332E-2</v>
      </c>
      <c r="H39" s="225">
        <f t="shared" si="3"/>
        <v>30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>
        <f t="shared" si="0"/>
        <v>2.0833333333333332E-2</v>
      </c>
      <c r="E40" s="97"/>
      <c r="F40" s="104">
        <f t="shared" si="1"/>
        <v>0</v>
      </c>
      <c r="G40" s="105">
        <f t="shared" si="2"/>
        <v>2.0833333333333332E-2</v>
      </c>
      <c r="H40" s="225">
        <f t="shared" si="3"/>
        <v>30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E13" sqref="E13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6" t="s">
        <v>183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6">
      <c r="B2" s="308" t="s">
        <v>5</v>
      </c>
      <c r="C2" s="308"/>
      <c r="D2" s="308"/>
      <c r="E2" s="90">
        <v>4</v>
      </c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8"/>
      <c r="C3" s="308"/>
      <c r="D3" s="308"/>
      <c r="E3" s="92"/>
      <c r="F3" s="132"/>
      <c r="G3" s="110"/>
      <c r="H3" s="111"/>
      <c r="I3" s="112"/>
      <c r="J3" s="241"/>
      <c r="K3" s="132"/>
    </row>
    <row r="4" spans="1:16">
      <c r="B4" s="308"/>
      <c r="C4" s="308"/>
      <c r="D4" s="308"/>
      <c r="E4" s="92"/>
      <c r="F4" s="132"/>
      <c r="G4" s="110"/>
      <c r="H4" s="111"/>
      <c r="I4" s="112"/>
      <c r="J4" s="132"/>
      <c r="K4" s="132"/>
    </row>
    <row r="5" spans="1:16">
      <c r="B5" s="308" t="s">
        <v>7</v>
      </c>
      <c r="C5" s="308"/>
      <c r="D5" s="308"/>
      <c r="E5" s="90">
        <v>7.5</v>
      </c>
      <c r="F5" s="132"/>
      <c r="G5" s="110">
        <f>E2/E5</f>
        <v>0.53333333333333333</v>
      </c>
      <c r="H5" s="111">
        <f>G5*3600</f>
        <v>1920</v>
      </c>
      <c r="I5" s="227">
        <f>IFERROR(((H5/86400)+J3),"")</f>
        <v>2.2222222222222223E-2</v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>
        <f>ROUNDDOWN(I5*1440,0)/1440</f>
        <v>2.2222222222222223E-2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9" t="s">
        <v>83</v>
      </c>
      <c r="J9" s="310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97">
        <v>0.51527777777777783</v>
      </c>
      <c r="D11" s="89">
        <f>C11+$I$7</f>
        <v>0.53750000000000009</v>
      </c>
      <c r="E11" s="97">
        <v>0.53819444444444442</v>
      </c>
      <c r="F11" s="104">
        <f>E11-C11</f>
        <v>2.2916666666666585E-2</v>
      </c>
      <c r="G11" s="105">
        <f>IF($I$7="","",IF(F11&lt;=$I$7,$I$7-F11,F11-$I$7))</f>
        <v>6.9444444444436218E-4</v>
      </c>
      <c r="H11" s="225">
        <f>ROUNDDOWN(G11*1440,0)</f>
        <v>0</v>
      </c>
      <c r="I11" s="144"/>
      <c r="J11" s="144"/>
      <c r="K11" s="144"/>
      <c r="L11" s="148"/>
      <c r="M11" s="107">
        <f>IF(B11&lt;&gt;0,H11+(I11*30)+(J11*10)+(K11*5)+(L11*50),"")</f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97">
        <v>0.51527777777777783</v>
      </c>
      <c r="D12" s="89">
        <f t="shared" ref="D12:D40" si="0">C12+$I$7</f>
        <v>0.53750000000000009</v>
      </c>
      <c r="E12" s="97">
        <v>0.53819444444444442</v>
      </c>
      <c r="F12" s="104">
        <f t="shared" ref="F12:F40" si="1">E12-C12</f>
        <v>2.2916666666666585E-2</v>
      </c>
      <c r="G12" s="105">
        <f t="shared" ref="G12:G40" si="2">IF($I$7="","",IF(F12&lt;=$I$7,$I$7-F12,F12-$I$7))</f>
        <v>6.9444444444436218E-4</v>
      </c>
      <c r="H12" s="225">
        <f t="shared" ref="H12:H40" si="3">ROUNDDOWN(G12*1440,0)</f>
        <v>0</v>
      </c>
      <c r="I12" s="98"/>
      <c r="J12" s="98"/>
      <c r="K12" s="98"/>
      <c r="L12" s="149"/>
      <c r="M12" s="107">
        <f t="shared" ref="M12:M40" si="4">IF(B12&lt;&gt;0,H12+(I12*30)+(J12*10)+(K12*5)+(L12*50),"")</f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>
        <f t="shared" si="0"/>
        <v>2.2222222222222223E-2</v>
      </c>
      <c r="E13" s="97"/>
      <c r="F13" s="104">
        <f t="shared" si="1"/>
        <v>0</v>
      </c>
      <c r="G13" s="105">
        <f t="shared" si="2"/>
        <v>2.2222222222222223E-2</v>
      </c>
      <c r="H13" s="225">
        <f t="shared" si="3"/>
        <v>32</v>
      </c>
      <c r="I13" s="98"/>
      <c r="J13" s="98"/>
      <c r="K13" s="98"/>
      <c r="L13" s="149"/>
      <c r="M13" s="107" t="str">
        <f t="shared" si="4"/>
        <v/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>
        <f t="shared" si="0"/>
        <v>2.2222222222222223E-2</v>
      </c>
      <c r="E14" s="97"/>
      <c r="F14" s="104">
        <f t="shared" si="1"/>
        <v>0</v>
      </c>
      <c r="G14" s="105">
        <f t="shared" si="2"/>
        <v>2.2222222222222223E-2</v>
      </c>
      <c r="H14" s="225">
        <f t="shared" si="3"/>
        <v>32</v>
      </c>
      <c r="I14" s="98"/>
      <c r="J14" s="98"/>
      <c r="K14" s="98"/>
      <c r="L14" s="149"/>
      <c r="M14" s="107" t="str">
        <f t="shared" si="4"/>
        <v/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>
        <f t="shared" si="0"/>
        <v>2.2222222222222223E-2</v>
      </c>
      <c r="E15" s="97"/>
      <c r="F15" s="104">
        <f t="shared" si="1"/>
        <v>0</v>
      </c>
      <c r="G15" s="105">
        <f t="shared" si="2"/>
        <v>2.2222222222222223E-2</v>
      </c>
      <c r="H15" s="225">
        <f t="shared" si="3"/>
        <v>32</v>
      </c>
      <c r="I15" s="98"/>
      <c r="J15" s="98"/>
      <c r="K15" s="98"/>
      <c r="L15" s="149"/>
      <c r="M15" s="107" t="str">
        <f t="shared" si="4"/>
        <v/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>
        <f t="shared" si="0"/>
        <v>2.2222222222222223E-2</v>
      </c>
      <c r="E16" s="97"/>
      <c r="F16" s="104">
        <f t="shared" si="1"/>
        <v>0</v>
      </c>
      <c r="G16" s="105">
        <f t="shared" si="2"/>
        <v>2.2222222222222223E-2</v>
      </c>
      <c r="H16" s="225">
        <f t="shared" si="3"/>
        <v>32</v>
      </c>
      <c r="I16" s="98"/>
      <c r="J16" s="98"/>
      <c r="K16" s="98"/>
      <c r="L16" s="149"/>
      <c r="M16" s="107" t="str">
        <f t="shared" si="4"/>
        <v/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>
        <f t="shared" si="0"/>
        <v>2.2222222222222223E-2</v>
      </c>
      <c r="E17" s="97"/>
      <c r="F17" s="104">
        <f t="shared" si="1"/>
        <v>0</v>
      </c>
      <c r="G17" s="105">
        <f t="shared" si="2"/>
        <v>2.2222222222222223E-2</v>
      </c>
      <c r="H17" s="225">
        <f t="shared" si="3"/>
        <v>32</v>
      </c>
      <c r="I17" s="98"/>
      <c r="J17" s="98"/>
      <c r="K17" s="98"/>
      <c r="L17" s="149"/>
      <c r="M17" s="107" t="str">
        <f t="shared" si="4"/>
        <v/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>
        <f t="shared" si="0"/>
        <v>2.2222222222222223E-2</v>
      </c>
      <c r="E18" s="97"/>
      <c r="F18" s="104">
        <f t="shared" si="1"/>
        <v>0</v>
      </c>
      <c r="G18" s="105">
        <f t="shared" si="2"/>
        <v>2.2222222222222223E-2</v>
      </c>
      <c r="H18" s="225">
        <f t="shared" si="3"/>
        <v>32</v>
      </c>
      <c r="I18" s="99"/>
      <c r="J18" s="99"/>
      <c r="K18" s="98"/>
      <c r="L18" s="149"/>
      <c r="M18" s="107" t="str">
        <f t="shared" si="4"/>
        <v/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>
        <f t="shared" si="0"/>
        <v>2.2222222222222223E-2</v>
      </c>
      <c r="E19" s="97"/>
      <c r="F19" s="104">
        <f t="shared" si="1"/>
        <v>0</v>
      </c>
      <c r="G19" s="105">
        <f t="shared" si="2"/>
        <v>2.2222222222222223E-2</v>
      </c>
      <c r="H19" s="225">
        <f t="shared" si="3"/>
        <v>32</v>
      </c>
      <c r="I19" s="99"/>
      <c r="J19" s="99"/>
      <c r="K19" s="98"/>
      <c r="L19" s="149"/>
      <c r="M19" s="107" t="str">
        <f t="shared" si="4"/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>
        <f t="shared" si="0"/>
        <v>2.2222222222222223E-2</v>
      </c>
      <c r="E20" s="97"/>
      <c r="F20" s="104">
        <f t="shared" si="1"/>
        <v>0</v>
      </c>
      <c r="G20" s="105">
        <f t="shared" si="2"/>
        <v>2.2222222222222223E-2</v>
      </c>
      <c r="H20" s="225">
        <f t="shared" si="3"/>
        <v>32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>
        <f t="shared" si="0"/>
        <v>2.2222222222222223E-2</v>
      </c>
      <c r="E21" s="97"/>
      <c r="F21" s="104">
        <f t="shared" si="1"/>
        <v>0</v>
      </c>
      <c r="G21" s="105">
        <f t="shared" si="2"/>
        <v>2.2222222222222223E-2</v>
      </c>
      <c r="H21" s="225">
        <f t="shared" si="3"/>
        <v>32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>
        <f t="shared" si="0"/>
        <v>2.2222222222222223E-2</v>
      </c>
      <c r="E22" s="97"/>
      <c r="F22" s="104">
        <f t="shared" si="1"/>
        <v>0</v>
      </c>
      <c r="G22" s="105">
        <f t="shared" si="2"/>
        <v>2.2222222222222223E-2</v>
      </c>
      <c r="H22" s="225">
        <f t="shared" si="3"/>
        <v>32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>
        <f t="shared" si="0"/>
        <v>2.2222222222222223E-2</v>
      </c>
      <c r="E23" s="97"/>
      <c r="F23" s="104">
        <f t="shared" si="1"/>
        <v>0</v>
      </c>
      <c r="G23" s="105">
        <f t="shared" si="2"/>
        <v>2.2222222222222223E-2</v>
      </c>
      <c r="H23" s="225">
        <f t="shared" si="3"/>
        <v>32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>
        <f t="shared" si="0"/>
        <v>2.2222222222222223E-2</v>
      </c>
      <c r="E24" s="97"/>
      <c r="F24" s="104">
        <f t="shared" si="1"/>
        <v>0</v>
      </c>
      <c r="G24" s="105">
        <f t="shared" si="2"/>
        <v>2.2222222222222223E-2</v>
      </c>
      <c r="H24" s="225">
        <f t="shared" si="3"/>
        <v>32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>
        <f t="shared" si="0"/>
        <v>2.2222222222222223E-2</v>
      </c>
      <c r="E25" s="97"/>
      <c r="F25" s="104">
        <f t="shared" si="1"/>
        <v>0</v>
      </c>
      <c r="G25" s="105">
        <f t="shared" si="2"/>
        <v>2.2222222222222223E-2</v>
      </c>
      <c r="H25" s="225">
        <f t="shared" si="3"/>
        <v>32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>
        <f t="shared" si="0"/>
        <v>2.2222222222222223E-2</v>
      </c>
      <c r="E26" s="97"/>
      <c r="F26" s="104">
        <f t="shared" si="1"/>
        <v>0</v>
      </c>
      <c r="G26" s="105">
        <f t="shared" si="2"/>
        <v>2.2222222222222223E-2</v>
      </c>
      <c r="H26" s="225">
        <f t="shared" si="3"/>
        <v>32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>
        <f t="shared" si="0"/>
        <v>2.2222222222222223E-2</v>
      </c>
      <c r="E27" s="97"/>
      <c r="F27" s="104">
        <f t="shared" si="1"/>
        <v>0</v>
      </c>
      <c r="G27" s="105">
        <f t="shared" si="2"/>
        <v>2.2222222222222223E-2</v>
      </c>
      <c r="H27" s="225">
        <f t="shared" si="3"/>
        <v>32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>
        <f t="shared" si="0"/>
        <v>2.2222222222222223E-2</v>
      </c>
      <c r="E28" s="97"/>
      <c r="F28" s="104">
        <f>E28-C28</f>
        <v>0</v>
      </c>
      <c r="G28" s="105">
        <f t="shared" si="2"/>
        <v>2.2222222222222223E-2</v>
      </c>
      <c r="H28" s="225">
        <f t="shared" si="3"/>
        <v>32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>
        <f t="shared" si="0"/>
        <v>2.2222222222222223E-2</v>
      </c>
      <c r="E29" s="97"/>
      <c r="F29" s="104">
        <f t="shared" si="1"/>
        <v>0</v>
      </c>
      <c r="G29" s="105">
        <f t="shared" si="2"/>
        <v>2.2222222222222223E-2</v>
      </c>
      <c r="H29" s="225">
        <f t="shared" si="3"/>
        <v>32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>
        <f t="shared" si="0"/>
        <v>2.2222222222222223E-2</v>
      </c>
      <c r="E30" s="97"/>
      <c r="F30" s="104">
        <f t="shared" si="1"/>
        <v>0</v>
      </c>
      <c r="G30" s="105">
        <f t="shared" si="2"/>
        <v>2.2222222222222223E-2</v>
      </c>
      <c r="H30" s="225">
        <f t="shared" si="3"/>
        <v>32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>
        <f t="shared" si="0"/>
        <v>2.2222222222222223E-2</v>
      </c>
      <c r="E31" s="97"/>
      <c r="F31" s="104">
        <f t="shared" si="1"/>
        <v>0</v>
      </c>
      <c r="G31" s="105">
        <f t="shared" si="2"/>
        <v>2.2222222222222223E-2</v>
      </c>
      <c r="H31" s="225">
        <f t="shared" si="3"/>
        <v>32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>
        <f t="shared" si="0"/>
        <v>2.2222222222222223E-2</v>
      </c>
      <c r="E32" s="97"/>
      <c r="F32" s="104">
        <f t="shared" si="1"/>
        <v>0</v>
      </c>
      <c r="G32" s="105">
        <f t="shared" si="2"/>
        <v>2.2222222222222223E-2</v>
      </c>
      <c r="H32" s="225">
        <f t="shared" si="3"/>
        <v>32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>
        <f t="shared" si="0"/>
        <v>2.2222222222222223E-2</v>
      </c>
      <c r="E33" s="97"/>
      <c r="F33" s="104">
        <f t="shared" si="1"/>
        <v>0</v>
      </c>
      <c r="G33" s="105">
        <f t="shared" si="2"/>
        <v>2.2222222222222223E-2</v>
      </c>
      <c r="H33" s="225">
        <f t="shared" si="3"/>
        <v>32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>
        <f t="shared" si="0"/>
        <v>2.2222222222222223E-2</v>
      </c>
      <c r="E34" s="97"/>
      <c r="F34" s="104">
        <f t="shared" si="1"/>
        <v>0</v>
      </c>
      <c r="G34" s="105">
        <f t="shared" si="2"/>
        <v>2.2222222222222223E-2</v>
      </c>
      <c r="H34" s="225">
        <f t="shared" si="3"/>
        <v>32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>
        <f t="shared" si="0"/>
        <v>2.2222222222222223E-2</v>
      </c>
      <c r="E35" s="97"/>
      <c r="F35" s="104">
        <f t="shared" si="1"/>
        <v>0</v>
      </c>
      <c r="G35" s="105">
        <f t="shared" si="2"/>
        <v>2.2222222222222223E-2</v>
      </c>
      <c r="H35" s="225">
        <f t="shared" si="3"/>
        <v>32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>
        <f t="shared" si="0"/>
        <v>2.2222222222222223E-2</v>
      </c>
      <c r="E36" s="97"/>
      <c r="F36" s="104">
        <f t="shared" si="1"/>
        <v>0</v>
      </c>
      <c r="G36" s="105">
        <f t="shared" si="2"/>
        <v>2.2222222222222223E-2</v>
      </c>
      <c r="H36" s="225">
        <f t="shared" si="3"/>
        <v>32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>
        <f t="shared" si="0"/>
        <v>2.2222222222222223E-2</v>
      </c>
      <c r="E37" s="97"/>
      <c r="F37" s="104">
        <f t="shared" si="1"/>
        <v>0</v>
      </c>
      <c r="G37" s="105">
        <f t="shared" si="2"/>
        <v>2.2222222222222223E-2</v>
      </c>
      <c r="H37" s="225">
        <f t="shared" si="3"/>
        <v>32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>
        <f t="shared" si="0"/>
        <v>2.2222222222222223E-2</v>
      </c>
      <c r="E38" s="97"/>
      <c r="F38" s="104">
        <f t="shared" si="1"/>
        <v>0</v>
      </c>
      <c r="G38" s="105">
        <f t="shared" si="2"/>
        <v>2.2222222222222223E-2</v>
      </c>
      <c r="H38" s="225">
        <f t="shared" si="3"/>
        <v>32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>
        <f t="shared" si="0"/>
        <v>2.2222222222222223E-2</v>
      </c>
      <c r="E39" s="97"/>
      <c r="F39" s="104">
        <f t="shared" si="1"/>
        <v>0</v>
      </c>
      <c r="G39" s="105">
        <f t="shared" si="2"/>
        <v>2.2222222222222223E-2</v>
      </c>
      <c r="H39" s="225">
        <f t="shared" si="3"/>
        <v>32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>
        <f t="shared" si="0"/>
        <v>2.2222222222222223E-2</v>
      </c>
      <c r="E40" s="97"/>
      <c r="F40" s="104">
        <f t="shared" si="1"/>
        <v>0</v>
      </c>
      <c r="G40" s="105">
        <f t="shared" si="2"/>
        <v>2.2222222222222223E-2</v>
      </c>
      <c r="H40" s="225">
        <f t="shared" si="3"/>
        <v>32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13" sqref="E13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6" t="s">
        <v>184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6">
      <c r="B2" s="308" t="s">
        <v>5</v>
      </c>
      <c r="C2" s="308"/>
      <c r="D2" s="308"/>
      <c r="E2" s="90">
        <v>3.3</v>
      </c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8"/>
      <c r="C3" s="308"/>
      <c r="D3" s="308"/>
      <c r="E3" s="92"/>
      <c r="F3" s="132"/>
      <c r="G3" s="110"/>
      <c r="H3" s="111"/>
      <c r="I3" s="112"/>
      <c r="J3" s="241"/>
      <c r="K3" s="132"/>
    </row>
    <row r="4" spans="1:16">
      <c r="B4" s="308"/>
      <c r="C4" s="308"/>
      <c r="D4" s="308"/>
      <c r="E4" s="92"/>
      <c r="F4" s="132"/>
      <c r="G4" s="110"/>
      <c r="H4" s="111"/>
      <c r="I4" s="112"/>
      <c r="J4" s="132"/>
      <c r="K4" s="132"/>
    </row>
    <row r="5" spans="1:16">
      <c r="B5" s="308" t="s">
        <v>7</v>
      </c>
      <c r="C5" s="308"/>
      <c r="D5" s="308"/>
      <c r="E5" s="90">
        <v>6.5</v>
      </c>
      <c r="F5" s="132"/>
      <c r="G5" s="110">
        <f>E2/E5</f>
        <v>0.50769230769230766</v>
      </c>
      <c r="H5" s="111">
        <f>G5*3600</f>
        <v>1827.6923076923076</v>
      </c>
      <c r="I5" s="227">
        <f>IFERROR(((H5/86400)+J3),"")</f>
        <v>2.1153846153846152E-2</v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>
        <f>ROUNDDOWN(I5*1440,0)/1440</f>
        <v>2.0833333333333332E-2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9" t="s">
        <v>83</v>
      </c>
      <c r="J9" s="310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166">
        <v>0.54166666666666663</v>
      </c>
      <c r="D11" s="89">
        <f>C11+$I$7</f>
        <v>0.5625</v>
      </c>
      <c r="E11" s="97">
        <v>0.56180555555555556</v>
      </c>
      <c r="F11" s="104">
        <f>E11-C11</f>
        <v>2.0138888888888928E-2</v>
      </c>
      <c r="G11" s="105">
        <f>IF($I$7="","",IF(F11&lt;=$I$7,$I$7-F11,F11-$I$7))</f>
        <v>6.9444444444440381E-4</v>
      </c>
      <c r="H11" s="225">
        <f>ROUNDDOWN(G11*1440,0)</f>
        <v>0</v>
      </c>
      <c r="I11" s="144"/>
      <c r="J11" s="144"/>
      <c r="K11" s="144"/>
      <c r="L11" s="148"/>
      <c r="M11" s="107">
        <f>IF(B11&lt;&gt;0,H11+(I11*30)+(J11*10)+(K11*5)+(L11*50),"")</f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166">
        <v>0.54166666666666663</v>
      </c>
      <c r="D12" s="89">
        <f t="shared" ref="D12:D40" si="0">C12+$I$7</f>
        <v>0.5625</v>
      </c>
      <c r="E12" s="97">
        <v>0.56180555555555556</v>
      </c>
      <c r="F12" s="104">
        <f t="shared" ref="F12:F40" si="1">E12-C12</f>
        <v>2.0138888888888928E-2</v>
      </c>
      <c r="G12" s="105">
        <f t="shared" ref="G12:G40" si="2">IF($I$7="","",IF(F12&lt;=$I$7,$I$7-F12,F12-$I$7))</f>
        <v>6.9444444444440381E-4</v>
      </c>
      <c r="H12" s="225">
        <f t="shared" ref="H12:H40" si="3">ROUNDDOWN(G12*1440,0)</f>
        <v>0</v>
      </c>
      <c r="I12" s="98"/>
      <c r="J12" s="98"/>
      <c r="K12" s="98"/>
      <c r="L12" s="149"/>
      <c r="M12" s="107">
        <f t="shared" ref="M12:M40" si="4">IF(B12&lt;&gt;0,H12+(I12*30)+(J12*10)+(K12*5)+(L12*50),"")</f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>
        <f t="shared" si="0"/>
        <v>2.0833333333333332E-2</v>
      </c>
      <c r="E13" s="97"/>
      <c r="F13" s="104">
        <f t="shared" si="1"/>
        <v>0</v>
      </c>
      <c r="G13" s="105">
        <f t="shared" si="2"/>
        <v>2.0833333333333332E-2</v>
      </c>
      <c r="H13" s="225">
        <f t="shared" si="3"/>
        <v>30</v>
      </c>
      <c r="I13" s="98"/>
      <c r="J13" s="98"/>
      <c r="K13" s="98"/>
      <c r="L13" s="149"/>
      <c r="M13" s="107" t="str">
        <f t="shared" si="4"/>
        <v/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>
        <f t="shared" si="0"/>
        <v>2.0833333333333332E-2</v>
      </c>
      <c r="E14" s="97"/>
      <c r="F14" s="104">
        <f t="shared" si="1"/>
        <v>0</v>
      </c>
      <c r="G14" s="105">
        <f t="shared" si="2"/>
        <v>2.0833333333333332E-2</v>
      </c>
      <c r="H14" s="225">
        <f t="shared" si="3"/>
        <v>30</v>
      </c>
      <c r="I14" s="98"/>
      <c r="J14" s="98"/>
      <c r="K14" s="98"/>
      <c r="L14" s="149"/>
      <c r="M14" s="107" t="str">
        <f t="shared" si="4"/>
        <v/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>
        <f t="shared" si="0"/>
        <v>2.0833333333333332E-2</v>
      </c>
      <c r="E15" s="97"/>
      <c r="F15" s="104">
        <f t="shared" si="1"/>
        <v>0</v>
      </c>
      <c r="G15" s="105">
        <f t="shared" si="2"/>
        <v>2.0833333333333332E-2</v>
      </c>
      <c r="H15" s="225">
        <f t="shared" si="3"/>
        <v>30</v>
      </c>
      <c r="I15" s="98"/>
      <c r="J15" s="98"/>
      <c r="K15" s="98"/>
      <c r="L15" s="149"/>
      <c r="M15" s="107" t="str">
        <f t="shared" si="4"/>
        <v/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>
        <f t="shared" si="0"/>
        <v>2.0833333333333332E-2</v>
      </c>
      <c r="E16" s="97"/>
      <c r="F16" s="104">
        <f t="shared" si="1"/>
        <v>0</v>
      </c>
      <c r="G16" s="105">
        <f t="shared" si="2"/>
        <v>2.0833333333333332E-2</v>
      </c>
      <c r="H16" s="225">
        <f t="shared" si="3"/>
        <v>30</v>
      </c>
      <c r="I16" s="98"/>
      <c r="J16" s="98"/>
      <c r="K16" s="98"/>
      <c r="L16" s="149"/>
      <c r="M16" s="107" t="str">
        <f t="shared" si="4"/>
        <v/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>
        <f t="shared" si="0"/>
        <v>2.0833333333333332E-2</v>
      </c>
      <c r="E17" s="97"/>
      <c r="F17" s="104">
        <f t="shared" si="1"/>
        <v>0</v>
      </c>
      <c r="G17" s="105">
        <f t="shared" si="2"/>
        <v>2.0833333333333332E-2</v>
      </c>
      <c r="H17" s="225">
        <f t="shared" si="3"/>
        <v>30</v>
      </c>
      <c r="I17" s="98"/>
      <c r="J17" s="98"/>
      <c r="K17" s="98"/>
      <c r="L17" s="149"/>
      <c r="M17" s="107" t="str">
        <f t="shared" si="4"/>
        <v/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>
        <f t="shared" si="0"/>
        <v>2.0833333333333332E-2</v>
      </c>
      <c r="E18" s="97"/>
      <c r="F18" s="104">
        <f t="shared" si="1"/>
        <v>0</v>
      </c>
      <c r="G18" s="105">
        <f t="shared" si="2"/>
        <v>2.0833333333333332E-2</v>
      </c>
      <c r="H18" s="225">
        <f t="shared" si="3"/>
        <v>30</v>
      </c>
      <c r="I18" s="99"/>
      <c r="J18" s="99"/>
      <c r="K18" s="98"/>
      <c r="L18" s="149"/>
      <c r="M18" s="107" t="str">
        <f t="shared" si="4"/>
        <v/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>
        <f t="shared" si="0"/>
        <v>2.0833333333333332E-2</v>
      </c>
      <c r="E19" s="97"/>
      <c r="F19" s="104">
        <f t="shared" si="1"/>
        <v>0</v>
      </c>
      <c r="G19" s="105">
        <f t="shared" si="2"/>
        <v>2.0833333333333332E-2</v>
      </c>
      <c r="H19" s="225">
        <f t="shared" si="3"/>
        <v>30</v>
      </c>
      <c r="I19" s="99"/>
      <c r="J19" s="99"/>
      <c r="K19" s="98"/>
      <c r="L19" s="149"/>
      <c r="M19" s="107" t="str">
        <f t="shared" si="4"/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>
        <f t="shared" si="0"/>
        <v>2.0833333333333332E-2</v>
      </c>
      <c r="E20" s="97"/>
      <c r="F20" s="104">
        <f t="shared" si="1"/>
        <v>0</v>
      </c>
      <c r="G20" s="105">
        <f t="shared" si="2"/>
        <v>2.0833333333333332E-2</v>
      </c>
      <c r="H20" s="225">
        <f t="shared" si="3"/>
        <v>30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>
        <f t="shared" si="0"/>
        <v>2.0833333333333332E-2</v>
      </c>
      <c r="E21" s="97"/>
      <c r="F21" s="104">
        <f t="shared" si="1"/>
        <v>0</v>
      </c>
      <c r="G21" s="105">
        <f t="shared" si="2"/>
        <v>2.0833333333333332E-2</v>
      </c>
      <c r="H21" s="225">
        <f t="shared" si="3"/>
        <v>30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>
        <f t="shared" si="0"/>
        <v>2.0833333333333332E-2</v>
      </c>
      <c r="E22" s="97"/>
      <c r="F22" s="104">
        <f t="shared" si="1"/>
        <v>0</v>
      </c>
      <c r="G22" s="105">
        <f t="shared" si="2"/>
        <v>2.0833333333333332E-2</v>
      </c>
      <c r="H22" s="225">
        <f t="shared" si="3"/>
        <v>30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>
        <f t="shared" si="0"/>
        <v>2.0833333333333332E-2</v>
      </c>
      <c r="E23" s="97"/>
      <c r="F23" s="104">
        <f t="shared" si="1"/>
        <v>0</v>
      </c>
      <c r="G23" s="105">
        <f t="shared" si="2"/>
        <v>2.0833333333333332E-2</v>
      </c>
      <c r="H23" s="225">
        <f t="shared" si="3"/>
        <v>30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>
        <f t="shared" si="0"/>
        <v>2.0833333333333332E-2</v>
      </c>
      <c r="E24" s="97"/>
      <c r="F24" s="104">
        <f t="shared" si="1"/>
        <v>0</v>
      </c>
      <c r="G24" s="105">
        <f t="shared" si="2"/>
        <v>2.0833333333333332E-2</v>
      </c>
      <c r="H24" s="225">
        <f t="shared" si="3"/>
        <v>30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>
        <f t="shared" si="0"/>
        <v>2.0833333333333332E-2</v>
      </c>
      <c r="E25" s="97"/>
      <c r="F25" s="104">
        <f t="shared" si="1"/>
        <v>0</v>
      </c>
      <c r="G25" s="105">
        <f t="shared" si="2"/>
        <v>2.0833333333333332E-2</v>
      </c>
      <c r="H25" s="225">
        <f t="shared" si="3"/>
        <v>30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>
        <f t="shared" si="0"/>
        <v>2.0833333333333332E-2</v>
      </c>
      <c r="E26" s="97"/>
      <c r="F26" s="104">
        <f t="shared" si="1"/>
        <v>0</v>
      </c>
      <c r="G26" s="105">
        <f t="shared" si="2"/>
        <v>2.0833333333333332E-2</v>
      </c>
      <c r="H26" s="225">
        <f t="shared" si="3"/>
        <v>30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>
        <f t="shared" si="0"/>
        <v>2.0833333333333332E-2</v>
      </c>
      <c r="E27" s="97"/>
      <c r="F27" s="104">
        <f t="shared" si="1"/>
        <v>0</v>
      </c>
      <c r="G27" s="105">
        <f t="shared" si="2"/>
        <v>2.0833333333333332E-2</v>
      </c>
      <c r="H27" s="225">
        <f t="shared" si="3"/>
        <v>30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>
        <f t="shared" si="0"/>
        <v>2.0833333333333332E-2</v>
      </c>
      <c r="E28" s="97"/>
      <c r="F28" s="104">
        <f>E28-C28</f>
        <v>0</v>
      </c>
      <c r="G28" s="105">
        <f t="shared" si="2"/>
        <v>2.0833333333333332E-2</v>
      </c>
      <c r="H28" s="225">
        <f t="shared" si="3"/>
        <v>30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>
        <f t="shared" si="0"/>
        <v>2.0833333333333332E-2</v>
      </c>
      <c r="E29" s="97"/>
      <c r="F29" s="104">
        <f t="shared" si="1"/>
        <v>0</v>
      </c>
      <c r="G29" s="105">
        <f t="shared" si="2"/>
        <v>2.0833333333333332E-2</v>
      </c>
      <c r="H29" s="225">
        <f t="shared" si="3"/>
        <v>30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>
        <f t="shared" si="0"/>
        <v>2.0833333333333332E-2</v>
      </c>
      <c r="E30" s="97"/>
      <c r="F30" s="104">
        <f t="shared" si="1"/>
        <v>0</v>
      </c>
      <c r="G30" s="105">
        <f t="shared" si="2"/>
        <v>2.0833333333333332E-2</v>
      </c>
      <c r="H30" s="225">
        <f t="shared" si="3"/>
        <v>30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>
        <f t="shared" si="0"/>
        <v>2.0833333333333332E-2</v>
      </c>
      <c r="E31" s="97"/>
      <c r="F31" s="104">
        <f t="shared" si="1"/>
        <v>0</v>
      </c>
      <c r="G31" s="105">
        <f t="shared" si="2"/>
        <v>2.0833333333333332E-2</v>
      </c>
      <c r="H31" s="225">
        <f t="shared" si="3"/>
        <v>30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>
        <f t="shared" si="0"/>
        <v>2.0833333333333332E-2</v>
      </c>
      <c r="E32" s="97"/>
      <c r="F32" s="104">
        <f t="shared" si="1"/>
        <v>0</v>
      </c>
      <c r="G32" s="105">
        <f t="shared" si="2"/>
        <v>2.0833333333333332E-2</v>
      </c>
      <c r="H32" s="225">
        <f t="shared" si="3"/>
        <v>30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>
        <f t="shared" si="0"/>
        <v>2.0833333333333332E-2</v>
      </c>
      <c r="E33" s="97"/>
      <c r="F33" s="104">
        <f t="shared" si="1"/>
        <v>0</v>
      </c>
      <c r="G33" s="105">
        <f t="shared" si="2"/>
        <v>2.0833333333333332E-2</v>
      </c>
      <c r="H33" s="225">
        <f t="shared" si="3"/>
        <v>30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>
        <f t="shared" si="0"/>
        <v>2.0833333333333332E-2</v>
      </c>
      <c r="E34" s="97"/>
      <c r="F34" s="104">
        <f t="shared" si="1"/>
        <v>0</v>
      </c>
      <c r="G34" s="105">
        <f t="shared" si="2"/>
        <v>2.0833333333333332E-2</v>
      </c>
      <c r="H34" s="225">
        <f t="shared" si="3"/>
        <v>30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>
        <f t="shared" si="0"/>
        <v>2.0833333333333332E-2</v>
      </c>
      <c r="E35" s="97"/>
      <c r="F35" s="104">
        <f t="shared" si="1"/>
        <v>0</v>
      </c>
      <c r="G35" s="105">
        <f t="shared" si="2"/>
        <v>2.0833333333333332E-2</v>
      </c>
      <c r="H35" s="225">
        <f t="shared" si="3"/>
        <v>30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>
        <f t="shared" si="0"/>
        <v>2.0833333333333332E-2</v>
      </c>
      <c r="E36" s="97"/>
      <c r="F36" s="104">
        <f t="shared" si="1"/>
        <v>0</v>
      </c>
      <c r="G36" s="105">
        <f t="shared" si="2"/>
        <v>2.0833333333333332E-2</v>
      </c>
      <c r="H36" s="225">
        <f t="shared" si="3"/>
        <v>30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>
        <f t="shared" si="0"/>
        <v>2.0833333333333332E-2</v>
      </c>
      <c r="E37" s="97"/>
      <c r="F37" s="104">
        <f t="shared" si="1"/>
        <v>0</v>
      </c>
      <c r="G37" s="105">
        <f t="shared" si="2"/>
        <v>2.0833333333333332E-2</v>
      </c>
      <c r="H37" s="225">
        <f t="shared" si="3"/>
        <v>30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>
        <f t="shared" si="0"/>
        <v>2.0833333333333332E-2</v>
      </c>
      <c r="E38" s="97"/>
      <c r="F38" s="104">
        <f t="shared" si="1"/>
        <v>0</v>
      </c>
      <c r="G38" s="105">
        <f t="shared" si="2"/>
        <v>2.0833333333333332E-2</v>
      </c>
      <c r="H38" s="225">
        <f t="shared" si="3"/>
        <v>30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>
        <f t="shared" si="0"/>
        <v>2.0833333333333332E-2</v>
      </c>
      <c r="E39" s="97"/>
      <c r="F39" s="104">
        <f t="shared" si="1"/>
        <v>0</v>
      </c>
      <c r="G39" s="105">
        <f t="shared" si="2"/>
        <v>2.0833333333333332E-2</v>
      </c>
      <c r="H39" s="225">
        <f t="shared" si="3"/>
        <v>30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>
        <f t="shared" si="0"/>
        <v>2.0833333333333332E-2</v>
      </c>
      <c r="E40" s="97"/>
      <c r="F40" s="104">
        <f t="shared" si="1"/>
        <v>0</v>
      </c>
      <c r="G40" s="105">
        <f t="shared" si="2"/>
        <v>2.0833333333333332E-2</v>
      </c>
      <c r="H40" s="225">
        <f t="shared" si="3"/>
        <v>30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6" t="s">
        <v>185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6">
      <c r="B2" s="308" t="s">
        <v>5</v>
      </c>
      <c r="C2" s="308"/>
      <c r="D2" s="308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8"/>
      <c r="C3" s="308"/>
      <c r="D3" s="308"/>
      <c r="E3" s="92"/>
      <c r="F3" s="132"/>
      <c r="G3" s="110"/>
      <c r="H3" s="111"/>
      <c r="I3" s="112"/>
      <c r="J3" s="241"/>
      <c r="K3" s="132"/>
    </row>
    <row r="4" spans="1:16">
      <c r="B4" s="308"/>
      <c r="C4" s="308"/>
      <c r="D4" s="308"/>
      <c r="E4" s="92"/>
      <c r="F4" s="132"/>
      <c r="G4" s="110"/>
      <c r="H4" s="111"/>
      <c r="I4" s="112"/>
      <c r="J4" s="132"/>
      <c r="K4" s="132"/>
    </row>
    <row r="5" spans="1:16">
      <c r="B5" s="308" t="s">
        <v>7</v>
      </c>
      <c r="C5" s="308"/>
      <c r="D5" s="308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9" t="s">
        <v>83</v>
      </c>
      <c r="J9" s="310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7" t="s">
        <v>43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6">
      <c r="B2" s="308" t="s">
        <v>5</v>
      </c>
      <c r="C2" s="308"/>
      <c r="D2" s="308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8"/>
      <c r="C3" s="308"/>
      <c r="D3" s="308"/>
      <c r="E3" s="92"/>
      <c r="F3" s="132"/>
      <c r="G3" s="110"/>
      <c r="H3" s="111"/>
      <c r="I3" s="112"/>
      <c r="J3" s="241"/>
      <c r="K3" s="132"/>
    </row>
    <row r="4" spans="1:16">
      <c r="B4" s="308"/>
      <c r="C4" s="308"/>
      <c r="D4" s="308"/>
      <c r="E4" s="92"/>
      <c r="F4" s="132"/>
      <c r="G4" s="110"/>
      <c r="H4" s="111"/>
      <c r="I4" s="112"/>
      <c r="J4" s="132"/>
      <c r="K4" s="132"/>
    </row>
    <row r="5" spans="1:16">
      <c r="B5" s="308" t="s">
        <v>7</v>
      </c>
      <c r="C5" s="308"/>
      <c r="D5" s="308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9" t="s">
        <v>83</v>
      </c>
      <c r="J9" s="310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7" t="s">
        <v>72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6">
      <c r="B2" s="308" t="s">
        <v>5</v>
      </c>
      <c r="C2" s="308"/>
      <c r="D2" s="308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8"/>
      <c r="C3" s="308"/>
      <c r="D3" s="308"/>
      <c r="E3" s="92"/>
      <c r="F3" s="132"/>
      <c r="G3" s="110"/>
      <c r="H3" s="111"/>
      <c r="I3" s="112"/>
      <c r="J3" s="241"/>
      <c r="K3" s="132"/>
    </row>
    <row r="4" spans="1:16">
      <c r="B4" s="308"/>
      <c r="C4" s="308"/>
      <c r="D4" s="308"/>
      <c r="E4" s="92"/>
      <c r="F4" s="132"/>
      <c r="G4" s="110"/>
      <c r="H4" s="111"/>
      <c r="I4" s="112"/>
      <c r="J4" s="132"/>
      <c r="K4" s="132"/>
    </row>
    <row r="5" spans="1:16">
      <c r="B5" s="308" t="s">
        <v>7</v>
      </c>
      <c r="C5" s="308"/>
      <c r="D5" s="308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9" t="s">
        <v>83</v>
      </c>
      <c r="J9" s="310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10</v>
      </c>
      <c r="B11" s="214" t="str">
        <f>VLOOKUP(A11,RYTTERDATA!$A$5:$B$34,2,FALSE)</f>
        <v>Heidi Hedegård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11</v>
      </c>
      <c r="B12" s="214" t="str">
        <f>VLOOKUP(A12,RYTTERDATA!$A$5:$B$34,2,FALSE)</f>
        <v>Emilie Steinmejer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U39"/>
  <sheetViews>
    <sheetView workbookViewId="0">
      <selection activeCell="E6" sqref="E6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3.5703125" style="300" customWidth="1"/>
    <col min="8" max="8" width="12.28515625" style="66" customWidth="1"/>
    <col min="9" max="9" width="11.5703125" style="69" customWidth="1"/>
    <col min="10" max="11" width="9.140625" style="8"/>
    <col min="12" max="20" width="9.140625" style="11"/>
    <col min="21" max="21" width="9.5703125" style="11" customWidth="1"/>
    <col min="22" max="16384" width="9.140625" style="8"/>
  </cols>
  <sheetData>
    <row r="1" spans="1:21" ht="33.75">
      <c r="A1" s="311" t="s">
        <v>78</v>
      </c>
      <c r="B1" s="312"/>
      <c r="C1" s="312"/>
      <c r="D1" s="312"/>
      <c r="E1" s="312"/>
      <c r="F1" s="312"/>
      <c r="G1" s="312"/>
      <c r="H1" s="312"/>
      <c r="I1" s="312"/>
      <c r="J1" s="313"/>
      <c r="K1" s="21"/>
      <c r="L1" s="314"/>
      <c r="M1" s="314"/>
      <c r="N1" s="314"/>
      <c r="O1" s="314"/>
      <c r="P1" s="314"/>
      <c r="Q1" s="314"/>
      <c r="R1" s="314"/>
      <c r="S1" s="314"/>
      <c r="T1" s="314"/>
      <c r="U1" s="314"/>
    </row>
    <row r="2" spans="1:21" ht="21.75" customHeight="1">
      <c r="A2" s="21"/>
      <c r="B2" s="22" t="s">
        <v>77</v>
      </c>
      <c r="C2" s="22"/>
      <c r="D2" s="22"/>
      <c r="E2" s="9"/>
      <c r="F2" s="21"/>
      <c r="I2" s="68"/>
      <c r="J2" s="14"/>
      <c r="K2" s="21"/>
    </row>
    <row r="3" spans="1:21" ht="54.75" customHeight="1">
      <c r="A3" s="21" t="s">
        <v>12</v>
      </c>
      <c r="B3" s="21" t="s">
        <v>13</v>
      </c>
      <c r="C3" s="157" t="s">
        <v>198</v>
      </c>
      <c r="D3" s="157" t="s">
        <v>199</v>
      </c>
      <c r="E3" s="157" t="s">
        <v>200</v>
      </c>
      <c r="F3" s="157" t="s">
        <v>201</v>
      </c>
      <c r="G3" s="157" t="s">
        <v>202</v>
      </c>
      <c r="H3" s="159" t="s">
        <v>80</v>
      </c>
      <c r="I3" s="158" t="s">
        <v>79</v>
      </c>
      <c r="J3" s="139" t="s">
        <v>18</v>
      </c>
      <c r="K3" s="21"/>
      <c r="N3" s="31"/>
      <c r="O3" s="31"/>
      <c r="P3" s="31"/>
      <c r="Q3" s="31"/>
      <c r="R3" s="32"/>
      <c r="U3" s="33"/>
    </row>
    <row r="4" spans="1:21" ht="15" customHeight="1">
      <c r="A4" s="48">
        <f>VLOOKUP(RYTTERDATA!A5,RYTTERDATA!A5,1,FALSE)</f>
        <v>10</v>
      </c>
      <c r="B4" s="216" t="str">
        <f>VLOOKUP(A4,RYTTERDATA!$A$5:$B$34,2,FALSE)</f>
        <v>Heidi Hedegård</v>
      </c>
      <c r="C4" s="54"/>
      <c r="D4" s="55"/>
      <c r="E4" s="54">
        <v>1</v>
      </c>
      <c r="F4" s="54"/>
      <c r="G4" s="54"/>
      <c r="H4" s="54"/>
      <c r="I4" s="116"/>
      <c r="J4" s="19">
        <f>IF(B4&lt;&gt;0,(C4*30)+(D4*30)+(E4*30)+(F4*30)+(G4*30)+(I4*2)+H4,"")</f>
        <v>30</v>
      </c>
      <c r="K4" s="21"/>
      <c r="L4" s="34"/>
      <c r="M4" s="35"/>
      <c r="O4" s="26"/>
      <c r="P4" s="28"/>
      <c r="Q4" s="26"/>
      <c r="R4" s="26"/>
      <c r="S4" s="26"/>
      <c r="T4" s="26"/>
      <c r="U4" s="26"/>
    </row>
    <row r="5" spans="1:21" ht="15" customHeight="1">
      <c r="A5" s="48">
        <f>VLOOKUP(RYTTERDATA!A6,RYTTERDATA!A6,1,FALSE)</f>
        <v>11</v>
      </c>
      <c r="B5" s="216" t="str">
        <f>VLOOKUP(A5,RYTTERDATA!$A$5:$B$34,2,FALSE)</f>
        <v>Emilie Steinmejer</v>
      </c>
      <c r="C5" s="54"/>
      <c r="D5" s="55"/>
      <c r="E5" s="54">
        <v>1</v>
      </c>
      <c r="F5" s="54"/>
      <c r="G5" s="54"/>
      <c r="H5" s="54"/>
      <c r="I5" s="116"/>
      <c r="J5" s="19">
        <f t="shared" ref="J5:J33" si="0">IF(B5&lt;&gt;0,(C5*30)+(D5*30)+(E5*30)+(F5*30)+(G5*30)+(I5*2)+H5,"")</f>
        <v>30</v>
      </c>
      <c r="K5" s="21"/>
      <c r="L5" s="34"/>
      <c r="M5" s="36"/>
      <c r="O5" s="26"/>
      <c r="P5" s="28"/>
      <c r="Q5" s="26"/>
      <c r="R5" s="26"/>
      <c r="S5" s="26"/>
      <c r="T5" s="26"/>
      <c r="U5" s="26"/>
    </row>
    <row r="6" spans="1:21" ht="15" customHeight="1">
      <c r="A6" s="48">
        <f>VLOOKUP(RYTTERDATA!A7,RYTTERDATA!A7,1,FALSE)</f>
        <v>0</v>
      </c>
      <c r="B6" s="216">
        <f>VLOOKUP(A6,RYTTERDATA!$A$5:$B$34,2,FALSE)</f>
        <v>0</v>
      </c>
      <c r="C6" s="54"/>
      <c r="D6" s="55"/>
      <c r="E6" s="54"/>
      <c r="F6" s="54"/>
      <c r="G6" s="54"/>
      <c r="H6" s="54"/>
      <c r="I6" s="116"/>
      <c r="J6" s="19" t="str">
        <f t="shared" si="0"/>
        <v/>
      </c>
      <c r="K6" s="21"/>
      <c r="L6" s="34"/>
      <c r="M6" s="37"/>
      <c r="O6" s="26"/>
      <c r="P6" s="28"/>
      <c r="Q6" s="26"/>
      <c r="R6" s="26"/>
      <c r="S6" s="26"/>
      <c r="T6" s="26"/>
      <c r="U6" s="26"/>
    </row>
    <row r="7" spans="1:21" ht="15" customHeight="1">
      <c r="A7" s="48">
        <f>VLOOKUP(RYTTERDATA!A8,RYTTERDATA!A8,1,FALSE)</f>
        <v>0</v>
      </c>
      <c r="B7" s="216">
        <f>VLOOKUP(A7,RYTTERDATA!$A$5:$B$34,2,FALSE)</f>
        <v>0</v>
      </c>
      <c r="C7" s="54"/>
      <c r="D7" s="55"/>
      <c r="E7" s="54"/>
      <c r="F7" s="54"/>
      <c r="G7" s="54"/>
      <c r="H7" s="54"/>
      <c r="I7" s="116"/>
      <c r="J7" s="19" t="str">
        <f t="shared" si="0"/>
        <v/>
      </c>
      <c r="K7" s="21"/>
      <c r="L7" s="34"/>
      <c r="M7" s="35"/>
      <c r="O7" s="26"/>
      <c r="P7" s="28"/>
      <c r="Q7" s="26"/>
      <c r="R7" s="26"/>
      <c r="S7" s="26"/>
      <c r="T7" s="26"/>
      <c r="U7" s="26"/>
    </row>
    <row r="8" spans="1:21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54"/>
      <c r="I8" s="116"/>
      <c r="J8" s="19" t="str">
        <f t="shared" si="0"/>
        <v/>
      </c>
      <c r="K8" s="21"/>
      <c r="L8" s="34"/>
      <c r="M8" s="38"/>
      <c r="O8" s="26"/>
      <c r="P8" s="28"/>
      <c r="Q8" s="26"/>
      <c r="R8" s="26"/>
      <c r="S8" s="26"/>
      <c r="T8" s="26"/>
      <c r="U8" s="26"/>
    </row>
    <row r="9" spans="1:21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54"/>
      <c r="I9" s="116"/>
      <c r="J9" s="19" t="str">
        <f t="shared" si="0"/>
        <v/>
      </c>
      <c r="K9" s="21"/>
      <c r="L9" s="34"/>
      <c r="M9" s="37"/>
      <c r="O9" s="26"/>
      <c r="P9" s="28"/>
      <c r="Q9" s="26"/>
      <c r="R9" s="26"/>
      <c r="S9" s="26"/>
      <c r="T9" s="26"/>
      <c r="U9" s="26"/>
    </row>
    <row r="10" spans="1:21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54"/>
      <c r="I10" s="116"/>
      <c r="J10" s="19" t="str">
        <f t="shared" si="0"/>
        <v/>
      </c>
      <c r="K10" s="21"/>
      <c r="L10" s="34"/>
      <c r="M10" s="37"/>
      <c r="O10" s="26"/>
      <c r="P10" s="28"/>
      <c r="Q10" s="26"/>
      <c r="R10" s="26"/>
      <c r="S10" s="26"/>
      <c r="T10" s="26"/>
      <c r="U10" s="26"/>
    </row>
    <row r="11" spans="1:21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54"/>
      <c r="I11" s="116"/>
      <c r="J11" s="19" t="str">
        <f t="shared" si="0"/>
        <v/>
      </c>
      <c r="K11" s="21"/>
    </row>
    <row r="12" spans="1:21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56"/>
      <c r="I12" s="116"/>
      <c r="J12" s="19" t="str">
        <f t="shared" si="0"/>
        <v/>
      </c>
      <c r="K12" s="21"/>
    </row>
    <row r="13" spans="1:21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56"/>
      <c r="I13" s="116"/>
      <c r="J13" s="19" t="str">
        <f t="shared" si="0"/>
        <v/>
      </c>
      <c r="K13" s="21"/>
    </row>
    <row r="14" spans="1:21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56"/>
      <c r="I14" s="116"/>
      <c r="J14" s="19" t="str">
        <f t="shared" si="0"/>
        <v/>
      </c>
      <c r="K14" s="21"/>
    </row>
    <row r="15" spans="1:21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56"/>
      <c r="I15" s="116"/>
      <c r="J15" s="19" t="str">
        <f t="shared" si="0"/>
        <v/>
      </c>
      <c r="K15" s="21"/>
    </row>
    <row r="16" spans="1:21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56"/>
      <c r="I16" s="116"/>
      <c r="J16" s="19" t="str">
        <f t="shared" si="0"/>
        <v/>
      </c>
      <c r="K16" s="21"/>
    </row>
    <row r="17" spans="1:11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56"/>
      <c r="I17" s="116"/>
      <c r="J17" s="19" t="str">
        <f t="shared" si="0"/>
        <v/>
      </c>
      <c r="K17" s="21"/>
    </row>
    <row r="18" spans="1:11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56"/>
      <c r="I18" s="116"/>
      <c r="J18" s="19" t="str">
        <f t="shared" si="0"/>
        <v/>
      </c>
      <c r="K18" s="21"/>
    </row>
    <row r="19" spans="1:11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56"/>
      <c r="I19" s="116"/>
      <c r="J19" s="19" t="str">
        <f t="shared" si="0"/>
        <v/>
      </c>
      <c r="K19" s="21"/>
    </row>
    <row r="20" spans="1:11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56"/>
      <c r="I20" s="116"/>
      <c r="J20" s="19" t="str">
        <f t="shared" si="0"/>
        <v/>
      </c>
      <c r="K20" s="21"/>
    </row>
    <row r="21" spans="1:11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54"/>
      <c r="I21" s="116"/>
      <c r="J21" s="19" t="str">
        <f t="shared" si="0"/>
        <v/>
      </c>
      <c r="K21" s="21"/>
    </row>
    <row r="22" spans="1:11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54"/>
      <c r="I22" s="116"/>
      <c r="J22" s="19" t="str">
        <f t="shared" si="0"/>
        <v/>
      </c>
    </row>
    <row r="23" spans="1:11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54"/>
      <c r="I23" s="116"/>
      <c r="J23" s="19" t="str">
        <f t="shared" si="0"/>
        <v/>
      </c>
    </row>
    <row r="24" spans="1:11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54"/>
      <c r="I24" s="116"/>
      <c r="J24" s="19" t="str">
        <f t="shared" si="0"/>
        <v/>
      </c>
    </row>
    <row r="25" spans="1:11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54"/>
      <c r="I25" s="116"/>
      <c r="J25" s="19" t="str">
        <f t="shared" si="0"/>
        <v/>
      </c>
    </row>
    <row r="26" spans="1:11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54"/>
      <c r="I26" s="116"/>
      <c r="J26" s="19" t="str">
        <f t="shared" si="0"/>
        <v/>
      </c>
    </row>
    <row r="27" spans="1:11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54"/>
      <c r="I27" s="116"/>
      <c r="J27" s="19" t="str">
        <f t="shared" si="0"/>
        <v/>
      </c>
    </row>
    <row r="28" spans="1:11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54"/>
      <c r="I28" s="116"/>
      <c r="J28" s="19" t="str">
        <f t="shared" si="0"/>
        <v/>
      </c>
    </row>
    <row r="29" spans="1:11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54"/>
      <c r="I29" s="116"/>
      <c r="J29" s="19" t="str">
        <f t="shared" si="0"/>
        <v/>
      </c>
    </row>
    <row r="30" spans="1:11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54"/>
      <c r="I30" s="116"/>
      <c r="J30" s="19" t="str">
        <f t="shared" si="0"/>
        <v/>
      </c>
    </row>
    <row r="31" spans="1:11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54"/>
      <c r="I31" s="116"/>
      <c r="J31" s="19" t="str">
        <f t="shared" si="0"/>
        <v/>
      </c>
    </row>
    <row r="32" spans="1:11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54"/>
      <c r="I32" s="116"/>
      <c r="J32" s="19" t="str">
        <f t="shared" si="0"/>
        <v/>
      </c>
    </row>
    <row r="33" spans="1:10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54"/>
      <c r="I33" s="116"/>
      <c r="J33" s="19" t="str">
        <f t="shared" si="0"/>
        <v/>
      </c>
    </row>
    <row r="34" spans="1:10">
      <c r="A34" s="51"/>
      <c r="B34" s="23"/>
    </row>
    <row r="35" spans="1:10">
      <c r="A35" s="30"/>
      <c r="B35" s="5"/>
    </row>
    <row r="36" spans="1:10">
      <c r="A36" s="30"/>
      <c r="B36" s="5"/>
    </row>
    <row r="37" spans="1:10">
      <c r="A37" s="30"/>
      <c r="B37" s="5"/>
    </row>
    <row r="38" spans="1:10">
      <c r="A38" s="30"/>
      <c r="B38" s="5"/>
    </row>
    <row r="39" spans="1:10">
      <c r="A39" s="30"/>
      <c r="B39" s="5"/>
    </row>
  </sheetData>
  <mergeCells count="2">
    <mergeCell ref="A1:J1"/>
    <mergeCell ref="L1:U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7" t="s">
        <v>176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10</v>
      </c>
      <c r="B5" s="214" t="str">
        <f>VLOOKUP(A5,RYTTERDATA!$A$5:$B$34,2,FALSE)</f>
        <v>Heidi Hedegård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11</v>
      </c>
      <c r="B6" s="214" t="str">
        <f>VLOOKUP(A6,RYTTERDATA!$A$5:$B$34,2,FALSE)</f>
        <v>Emilie Steinmejer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0</v>
      </c>
      <c r="B7" s="214">
        <f>VLOOKUP(A7,RYTTERDATA!$A$5:$B$34,2,FALSE)</f>
        <v>0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 t="str">
        <f t="shared" si="0"/>
        <v/>
      </c>
      <c r="N7" s="86" t="s">
        <v>45</v>
      </c>
    </row>
    <row r="8" spans="1:16" ht="20.100000000000001" customHeight="1">
      <c r="A8" s="85">
        <f>VLOOKUP(RYTTERDATA!A8,RYTTERDATA!A8,1,FALSE)</f>
        <v>0</v>
      </c>
      <c r="B8" s="214">
        <f>VLOOKUP(A8,RYTTERDATA!$A$5:$B$34,2,FALSE)</f>
        <v>0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 t="str">
        <f t="shared" si="0"/>
        <v/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2018-10-06T20:20:26Z</dcterms:modified>
</cp:coreProperties>
</file>