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54" activeTab="15"/>
  </bookViews>
  <sheets>
    <sheet name="RYTTERDATA" sheetId="30" r:id="rId1"/>
    <sheet name="Etape 2 Udreg." sheetId="40" state="hidden" r:id="rId2"/>
    <sheet name="Etape 3 Udreg. " sheetId="42" state="hidden" r:id="rId3"/>
    <sheet name="Etape 4 Udreg. " sheetId="43" state="hidden" r:id="rId4"/>
    <sheet name="Etape 5 Udreg. " sheetId="44" state="hidden" r:id="rId5"/>
    <sheet name="Etape 6 Udreg. " sheetId="45" state="hidden" r:id="rId6"/>
    <sheet name="Etape 1 Udreg." sheetId="9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r:id="rId11"/>
    <sheet name="PTV Forhindringer" sheetId="38" state="hidden" r:id="rId12"/>
    <sheet name="MA udregning 75 m" sheetId="19" state="hidden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1" i="17"/>
  <c r="H6" i="19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A10"/>
  <c r="B10" s="1"/>
  <c r="A11"/>
  <c r="B11" s="1"/>
  <c r="A12"/>
  <c r="B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20"/>
  <c r="L34"/>
  <c r="K14"/>
  <c r="K22"/>
  <c r="K29"/>
  <c r="K30"/>
  <c r="J15"/>
  <c r="J20"/>
  <c r="J26"/>
  <c r="I18"/>
  <c r="I20"/>
  <c r="I29"/>
  <c r="I34"/>
  <c r="H15"/>
  <c r="H20"/>
  <c r="H22"/>
  <c r="H26"/>
  <c r="H30"/>
  <c r="H31"/>
  <c r="H32"/>
  <c r="G18"/>
  <c r="G33"/>
  <c r="G34"/>
  <c r="F15"/>
  <c r="F20"/>
  <c r="F26"/>
  <c r="F27"/>
  <c r="F30"/>
  <c r="E14"/>
  <c r="E20"/>
  <c r="E30"/>
  <c r="E33"/>
  <c r="E34"/>
  <c r="D14"/>
  <c r="D15"/>
  <c r="D18"/>
  <c r="D23"/>
  <c r="D34"/>
  <c r="G5" i="9"/>
  <c r="G29" i="1" l="1"/>
  <c r="E29"/>
  <c r="G20"/>
  <c r="M25"/>
  <c r="D20"/>
  <c r="E25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F30" s="1"/>
  <c r="E31"/>
  <c r="E32"/>
  <c r="E33"/>
  <c r="F33" s="1"/>
  <c r="E34"/>
  <c r="E5"/>
  <c r="F5" s="1"/>
  <c r="F6"/>
  <c r="F7"/>
  <c r="F14"/>
  <c r="F15"/>
  <c r="F16"/>
  <c r="F18"/>
  <c r="F19"/>
  <c r="F22"/>
  <c r="F23"/>
  <c r="F26"/>
  <c r="F27"/>
  <c r="F31"/>
  <c r="F32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I31" i="28"/>
  <c r="H31"/>
  <c r="F31"/>
  <c r="J31"/>
  <c r="I19"/>
  <c r="H19"/>
  <c r="F19"/>
  <c r="J19"/>
  <c r="I34"/>
  <c r="H34"/>
  <c r="F34"/>
  <c r="J34"/>
  <c r="I30"/>
  <c r="H30"/>
  <c r="F30"/>
  <c r="J30"/>
  <c r="I26"/>
  <c r="H26"/>
  <c r="F26"/>
  <c r="J26"/>
  <c r="I22"/>
  <c r="H22"/>
  <c r="F22"/>
  <c r="J22"/>
  <c r="F18"/>
  <c r="F14"/>
  <c r="I27"/>
  <c r="H27"/>
  <c r="F27"/>
  <c r="J27"/>
  <c r="F15"/>
  <c r="I33"/>
  <c r="H33"/>
  <c r="F33"/>
  <c r="J33"/>
  <c r="I29"/>
  <c r="H29"/>
  <c r="F29"/>
  <c r="J29"/>
  <c r="I25"/>
  <c r="F21"/>
  <c r="F17"/>
  <c r="I23"/>
  <c r="H23"/>
  <c r="F23"/>
  <c r="J23"/>
  <c r="I32"/>
  <c r="H32"/>
  <c r="F32"/>
  <c r="J32"/>
  <c r="I28"/>
  <c r="H28"/>
  <c r="F28"/>
  <c r="J28"/>
  <c r="I24"/>
  <c r="H24"/>
  <c r="F24"/>
  <c r="J24"/>
  <c r="I20"/>
  <c r="H20"/>
  <c r="F20"/>
  <c r="J20"/>
  <c r="F16"/>
  <c r="AE21" i="17" l="1"/>
  <c r="AE18"/>
  <c r="AE20"/>
  <c r="E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H6"/>
  <c r="H7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J28"/>
  <c r="K28" s="1"/>
  <c r="L28" s="1"/>
  <c r="J27"/>
  <c r="K27" s="1"/>
  <c r="L27" s="1"/>
  <c r="J26"/>
  <c r="K26" s="1"/>
  <c r="L26" s="1"/>
  <c r="J25"/>
  <c r="K25" s="1"/>
  <c r="L25" s="1"/>
  <c r="J24"/>
  <c r="J23"/>
  <c r="K23" s="1"/>
  <c r="L23" s="1"/>
  <c r="J22"/>
  <c r="K22" s="1"/>
  <c r="L22" s="1"/>
  <c r="J21"/>
  <c r="K21" s="1"/>
  <c r="L21" s="1"/>
  <c r="J20"/>
  <c r="K20" s="1"/>
  <c r="L20" s="1"/>
  <c r="J19"/>
  <c r="K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K24"/>
  <c r="L24" s="1"/>
  <c r="K12"/>
  <c r="L12" s="1"/>
  <c r="M12" s="1"/>
  <c r="F17" i="44"/>
  <c r="F25"/>
  <c r="F33"/>
  <c r="F21" i="45"/>
  <c r="F29"/>
  <c r="F37"/>
  <c r="L9" i="35"/>
  <c r="M9" s="1"/>
  <c r="K9" i="1" s="1"/>
  <c r="L19" i="35"/>
  <c r="L29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E6" i="19"/>
  <c r="E7"/>
  <c r="E8"/>
  <c r="E9"/>
  <c r="E10"/>
  <c r="J10" s="1"/>
  <c r="E11"/>
  <c r="E12"/>
  <c r="J12" s="1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J11"/>
  <c r="J13"/>
  <c r="B23"/>
  <c r="J23" s="1"/>
  <c r="B24"/>
  <c r="J24" s="1"/>
  <c r="B25"/>
  <c r="J25" s="1"/>
  <c r="B26"/>
  <c r="J26" s="1"/>
  <c r="B27"/>
  <c r="J27" s="1"/>
  <c r="B28"/>
  <c r="J28" s="1"/>
  <c r="B29"/>
  <c r="J29" s="1"/>
  <c r="B30"/>
  <c r="J30" s="1"/>
  <c r="B31"/>
  <c r="J31" s="1"/>
  <c r="B32"/>
  <c r="J32" s="1"/>
  <c r="B33"/>
  <c r="J33" s="1"/>
  <c r="B34"/>
  <c r="J34" s="1"/>
  <c r="F11" i="9"/>
  <c r="F28"/>
  <c r="F16"/>
  <c r="F17"/>
  <c r="F18"/>
  <c r="F19"/>
  <c r="F20"/>
  <c r="F21"/>
  <c r="F23"/>
  <c r="F24"/>
  <c r="F27"/>
  <c r="F30"/>
  <c r="F32"/>
  <c r="F36"/>
  <c r="F40"/>
  <c r="B14" i="19"/>
  <c r="J14" s="1"/>
  <c r="B15"/>
  <c r="J15" s="1"/>
  <c r="B16"/>
  <c r="J16" s="1"/>
  <c r="B17"/>
  <c r="J17" s="1"/>
  <c r="B18"/>
  <c r="J18" s="1"/>
  <c r="B19"/>
  <c r="J19" s="1"/>
  <c r="B20"/>
  <c r="J20" s="1"/>
  <c r="B21"/>
  <c r="J21" s="1"/>
  <c r="B22"/>
  <c r="J22" s="1"/>
  <c r="F12" i="9"/>
  <c r="F3" i="17"/>
  <c r="G3" s="1"/>
  <c r="H3" s="1"/>
  <c r="H5" s="1"/>
  <c r="H5" i="9"/>
  <c r="I5" s="1"/>
  <c r="J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G13" i="44"/>
  <c r="H13" s="1"/>
  <c r="H7" i="1" s="1"/>
  <c r="G31" i="44"/>
  <c r="H31" s="1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J7" i="19"/>
  <c r="G36" i="44"/>
  <c r="H36" s="1"/>
  <c r="G26"/>
  <c r="H26" s="1"/>
  <c r="G20"/>
  <c r="G11"/>
  <c r="H11" s="1"/>
  <c r="H5" i="1" s="1"/>
  <c r="G34" i="45"/>
  <c r="H34" s="1"/>
  <c r="G28"/>
  <c r="H28" s="1"/>
  <c r="G22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H39" s="1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J5" i="19"/>
  <c r="J9"/>
  <c r="J8"/>
  <c r="F25" i="28"/>
  <c r="J5" i="47"/>
  <c r="J6"/>
  <c r="H6" i="17"/>
  <c r="F8"/>
  <c r="G8" s="1"/>
  <c r="H8" s="1"/>
  <c r="AC8" s="1"/>
  <c r="AE8" s="1"/>
  <c r="G5" i="28" s="1"/>
  <c r="J7" i="47"/>
  <c r="J9"/>
  <c r="H20" i="45"/>
  <c r="H37"/>
  <c r="H29"/>
  <c r="H33"/>
  <c r="H27"/>
  <c r="H22"/>
  <c r="H40" i="44"/>
  <c r="H24"/>
  <c r="H14"/>
  <c r="H8" i="1" s="1"/>
  <c r="H33" i="44"/>
  <c r="H21"/>
  <c r="H20"/>
  <c r="H12"/>
  <c r="H6" i="1" s="1"/>
  <c r="H16" i="44"/>
  <c r="H29"/>
  <c r="H38" i="43"/>
  <c r="H29"/>
  <c r="H20" i="42"/>
  <c r="H28"/>
  <c r="H37"/>
  <c r="H22"/>
  <c r="H27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12" i="1" l="1"/>
  <c r="H16" i="42"/>
  <c r="F10" i="1" s="1"/>
  <c r="J25" i="28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3" l="1"/>
  <c r="D17"/>
  <c r="D21"/>
  <c r="D25"/>
  <c r="D29"/>
  <c r="D33"/>
  <c r="D37"/>
  <c r="D11"/>
  <c r="D14"/>
  <c r="D18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H9" i="28" l="1"/>
  <c r="E16"/>
  <c r="H8"/>
  <c r="E15"/>
  <c r="H7"/>
  <c r="E14"/>
  <c r="E13"/>
  <c r="H13" s="1"/>
  <c r="H18" i="9"/>
  <c r="M18" s="1"/>
  <c r="D12" i="1" s="1"/>
  <c r="M12" s="1"/>
  <c r="D11"/>
  <c r="M11" s="1"/>
  <c r="D10"/>
  <c r="M10" s="1"/>
  <c r="H6" i="28"/>
  <c r="E12" l="1"/>
  <c r="H12" s="1"/>
  <c r="E21"/>
  <c r="H11"/>
  <c r="E18"/>
  <c r="H10"/>
  <c r="E17"/>
  <c r="H16"/>
  <c r="H15"/>
  <c r="H14"/>
  <c r="H5"/>
  <c r="I5" l="1"/>
  <c r="I14"/>
  <c r="I10"/>
  <c r="I11"/>
  <c r="I9"/>
  <c r="E3"/>
  <c r="I21"/>
  <c r="H21"/>
  <c r="I7"/>
  <c r="I16"/>
  <c r="I6"/>
  <c r="I8"/>
  <c r="I18"/>
  <c r="H18"/>
  <c r="I12"/>
  <c r="I17"/>
  <c r="H17"/>
  <c r="I13"/>
  <c r="I15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<sst xmlns="http://schemas.openxmlformats.org/spreadsheetml/2006/main" count="605" uniqueCount="213">
  <si>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</si>
  <si>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</si>
  <si>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</si>
  <si>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</si>
  <si>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</si>
  <si>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</si>
  <si>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</si>
  <si>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</si>
  <si>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</si>
  <si>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</si>
  <si>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</si>
  <si>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</si>
  <si>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</si>
  <si>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</si>
  <si>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</si>
  <si>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</si>
  <si>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</si>
  <si>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</si>
  <si>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</si>
  <si>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</si>
  <si>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</si>
  <si>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</si>
  <si>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</si>
  <si>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</si>
  <si>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</si>
  <si>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</si>
  <si>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</si>
  <si>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</si>
  <si>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</si>
  <si>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</si>
  <si>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</si>
  <si>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</si>
  <si>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</si>
  <si>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</si>
  <si>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</si>
  <si>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</si>
  <si>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</si>
  <si>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</si>
  <si>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</si>
  <si>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</si>
  <si>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</si>
  <si>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</si>
  <si>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</si>
  <si>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</si>
  <si>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</si>
  <si>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</si>
  <si>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</si>
  <si>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</si>
  <si>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</si>
  <si>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</si>
  <si>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</si>
  <si>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</si>
  <si>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</si>
  <si>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</si>
  <si>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</si>
  <si>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</si>
  <si>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</si>
  <si>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</si>
  <si>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</si>
  <si>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</si>
  <si>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</si>
  <si>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</si>
  <si>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</si>
  <si>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</si>
  <si>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</si>
  <si>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</si>
  <si>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</si>
  <si>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</si>
  <si>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</si>
  <si>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</si>
  <si>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</si>
  <si>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</si>
  <si>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</si>
  <si>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</si>
  <si>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</si>
  <si>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Navn på PP</t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</si>
  <si>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</si>
  <si>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</si>
  <si>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</si>
  <si>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</si>
  <si>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</si>
  <si>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</si>
  <si>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</si>
  <si>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</si>
  <si>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</si>
  <si>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</si>
  <si>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</si>
  <si>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</si>
  <si>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</si>
  <si>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</si>
  <si>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</si>
  <si>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</si>
  <si>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</si>
  <si>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</si>
  <si>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</si>
  <si>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</si>
  <si>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</si>
  <si>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</si>
  <si>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</si>
  <si>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</si>
  <si>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</si>
  <si>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</si>
  <si>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</si>
  <si>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</si>
  <si>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</si>
  <si>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</si>
  <si>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</si>
  <si>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</si>
  <si>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</si>
  <si>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</si>
  <si>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</si>
  <si>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</si>
  <si>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</si>
  <si>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</si>
  <si>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</si>
  <si>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</si>
  <si>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</si>
  <si>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</si>
  <si>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</si>
  <si>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</si>
  <si>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</si>
  <si>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</si>
  <si>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</si>
  <si>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</si>
  <si>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</si>
  <si>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</si>
  <si>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</si>
  <si>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</si>
  <si>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</si>
  <si>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</si>
  <si>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</si>
  <si>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</si>
  <si>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</si>
  <si>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</si>
  <si>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</si>
  <si>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</si>
  <si>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</si>
  <si>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</si>
  <si>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</si>
  <si>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</si>
  <si>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</si>
  <si>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</si>
  <si>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</si>
  <si>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</si>
  <si>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</si>
  <si>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</si>
  <si>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</si>
  <si>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</si>
  <si>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</si>
  <si>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</si>
  <si>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</si>
  <si>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</si>
  <si>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</si>
  <si>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</si>
  <si>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</si>
  <si>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</si>
  <si>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</si>
  <si>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</si>
  <si>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</si>
  <si>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</si>
  <si>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</si>
  <si>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</si>
  <si>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</si>
  <si>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</si>
  <si>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</si>
  <si>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</si>
  <si>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</si>
  <si>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</si>
  <si>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</si>
  <si>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</si>
  <si>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</si>
  <si>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</si>
  <si>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</si>
  <si>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</si>
  <si>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</si>
  <si>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</si>
  <si>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</si>
  <si>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</si>
  <si>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</si>
  <si>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</si>
  <si>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</si>
  <si>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</si>
  <si>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</si>
  <si>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PP1</t>
  </si>
  <si>
    <t>%</t>
  </si>
  <si>
    <t>Etape 1
MÅL</t>
  </si>
  <si>
    <t>KLIK</t>
  </si>
  <si>
    <t>18/11 2018</t>
  </si>
  <si>
    <t>TREC</t>
  </si>
  <si>
    <t>Danbars Legacy DK</t>
  </si>
  <si>
    <t>Nicon</t>
  </si>
  <si>
    <t>SLS</t>
  </si>
  <si>
    <t>Placering</t>
  </si>
  <si>
    <t>15 sek. Tillæg for hver forhindring i gruppe 3: præcision og gruppe 5: føre hest</t>
  </si>
  <si>
    <t>T00</t>
  </si>
  <si>
    <t>Zeziliea Larsen</t>
  </si>
  <si>
    <t>Julie Andrea Cheung</t>
  </si>
  <si>
    <t>Pernille Skov Sørensen</t>
  </si>
  <si>
    <t>Aliena Marie Damgaard Svendsen</t>
  </si>
  <si>
    <t>Basse</t>
  </si>
  <si>
    <t>Rubina fra Nord</t>
  </si>
  <si>
    <t>Tarok Bjerget</t>
  </si>
  <si>
    <t>Elisabeth Sørensen</t>
  </si>
  <si>
    <t>Quattro's Kidoko Star</t>
  </si>
  <si>
    <t>Jeppe</t>
  </si>
  <si>
    <t>FRKS</t>
  </si>
  <si>
    <t>VASK</t>
  </si>
  <si>
    <t>LFHR</t>
  </si>
  <si>
    <t>SØK</t>
  </si>
  <si>
    <t>RESULTATER - T00</t>
  </si>
  <si>
    <t>PTV - T00</t>
  </si>
  <si>
    <t>Kirstine Haugaard UDEBLEVET</t>
  </si>
  <si>
    <t>Amanda Jarnsbøll UDEBLEVET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</si>
</sst>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29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1" xfId="0" applyFill="1" applyBorder="1" applyAlignment="1" applyProtection="1">
      <alignment horizontal="center" vertical="center" wrapText="1"/>
    </xf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4"/>
  <sheetViews>
    <sheetView workbookViewId="0">
      <selection activeCell="B9" sqref="B9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4" t="s">
        <v>100</v>
      </c>
      <c r="B1" s="295"/>
      <c r="C1" s="295"/>
      <c r="D1" s="295"/>
      <c r="E1" s="295"/>
      <c r="F1" s="295"/>
      <c r="G1" s="295"/>
      <c r="H1" s="295"/>
      <c r="I1" s="295"/>
      <c r="J1" s="296"/>
      <c r="K1" s="5"/>
    </row>
    <row r="2" spans="1:17" s="204" customFormat="1" ht="15.75">
      <c r="A2" s="196"/>
      <c r="B2" s="197" t="s">
        <v>101</v>
      </c>
      <c r="C2" s="198" t="s">
        <v>186</v>
      </c>
      <c r="D2" s="199" t="s">
        <v>64</v>
      </c>
      <c r="E2" s="297" t="s">
        <v>187</v>
      </c>
      <c r="F2" s="297"/>
      <c r="G2" s="200" t="s">
        <v>63</v>
      </c>
      <c r="H2" s="201" t="s">
        <v>194</v>
      </c>
      <c r="I2" s="202" t="s">
        <v>102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171</v>
      </c>
      <c r="G4" s="181" t="s">
        <v>44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24</v>
      </c>
      <c r="B5" s="287" t="s">
        <v>195</v>
      </c>
      <c r="C5" s="288" t="s">
        <v>199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25</v>
      </c>
      <c r="B6" s="287" t="s">
        <v>196</v>
      </c>
      <c r="C6" s="288" t="s">
        <v>200</v>
      </c>
      <c r="D6" s="185" t="s">
        <v>205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26</v>
      </c>
      <c r="B7" s="287" t="s">
        <v>211</v>
      </c>
      <c r="C7" s="288" t="s">
        <v>189</v>
      </c>
      <c r="D7" s="185" t="s">
        <v>191</v>
      </c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22</v>
      </c>
      <c r="B8" s="287" t="s">
        <v>212</v>
      </c>
      <c r="C8" s="288" t="s">
        <v>190</v>
      </c>
      <c r="D8" s="185" t="s">
        <v>186</v>
      </c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27</v>
      </c>
      <c r="B9" s="287" t="s">
        <v>197</v>
      </c>
      <c r="C9" s="288" t="s">
        <v>201</v>
      </c>
      <c r="D9" s="185" t="s">
        <v>206</v>
      </c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28</v>
      </c>
      <c r="B10" s="287" t="s">
        <v>198</v>
      </c>
      <c r="C10" s="288" t="s">
        <v>203</v>
      </c>
      <c r="D10" s="185" t="s">
        <v>207</v>
      </c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51</v>
      </c>
      <c r="B11" s="287" t="s">
        <v>202</v>
      </c>
      <c r="C11" s="288" t="s">
        <v>204</v>
      </c>
      <c r="D11" s="185" t="s">
        <v>208</v>
      </c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topLeftCell="B1" workbookViewId="0">
      <selection activeCell="M7" sqref="M7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08" t="s">
        <v>36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21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0"/>
      <c r="Q2" s="310"/>
      <c r="R2" s="310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37</v>
      </c>
      <c r="E4" s="53" t="s">
        <v>68</v>
      </c>
      <c r="F4" s="53" t="s">
        <v>38</v>
      </c>
      <c r="G4" s="53" t="s">
        <v>41</v>
      </c>
      <c r="H4" s="53" t="s">
        <v>43</v>
      </c>
      <c r="I4" s="53" t="s">
        <v>69</v>
      </c>
      <c r="J4" s="53" t="s">
        <v>94</v>
      </c>
      <c r="K4" s="137" t="s">
        <v>67</v>
      </c>
      <c r="L4" s="137" t="s">
        <v>172</v>
      </c>
      <c r="M4" s="20" t="s">
        <v>26</v>
      </c>
      <c r="P4" s="11" t="s">
        <v>165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24</v>
      </c>
      <c r="B5" s="115" t="str">
        <f>RYTTERDATA!B5</f>
        <v>Zeziliea Larsen</v>
      </c>
      <c r="C5" s="246">
        <f>IF(B5&lt;&gt;0,(240),"")</f>
        <v>240</v>
      </c>
      <c r="D5" s="24">
        <f>IF(B5&lt;&gt;0,((VLOOKUP(A5,'Etape 1 Udreg.'!$A$11:$M$40,13,FALSE)*-1)),"")</f>
        <v>0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v>0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25</v>
      </c>
      <c r="B6" s="115" t="str">
        <f>RYTTERDATA!B6</f>
        <v>Julie Andrea Cheung</v>
      </c>
      <c r="C6" s="246">
        <f t="shared" ref="C6:C34" si="0">IF(B6&lt;&gt;0,(240),"")</f>
        <v>240</v>
      </c>
      <c r="D6" s="24">
        <f>IF(B6&lt;&gt;0,((VLOOKUP(A6,'Etape 1 Udreg.'!$A$11:$M$40,13,FALSE)*-1)),"")</f>
        <v>0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>
        <v>0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26</v>
      </c>
      <c r="B7" s="115" t="str">
        <f>RYTTERDATA!B7</f>
        <v>Kirstine Haugaard UDEBLEVET</v>
      </c>
      <c r="C7" s="246">
        <f t="shared" si="0"/>
        <v>240</v>
      </c>
      <c r="D7" s="24">
        <f>IF(B7&lt;&gt;0,((VLOOKUP(A7,'Etape 1 Udreg.'!$A$11:$M$40,13,FALSE)*-1)),"")</f>
        <v>-53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>
        <f t="shared" ref="M7:M34" si="1">IF(B7&lt;&gt;0,(+C7+SUM(D7:L7)),"")</f>
        <v>187</v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22</v>
      </c>
      <c r="B8" s="115" t="str">
        <f>RYTTERDATA!B8</f>
        <v>Amanda Jarnsbøll UDEBLEVET</v>
      </c>
      <c r="C8" s="246">
        <f t="shared" si="0"/>
        <v>240</v>
      </c>
      <c r="D8" s="24">
        <f>IF(B8&lt;&gt;0,((VLOOKUP(A8,'Etape 1 Udreg.'!$A$11:$M$40,13,FALSE)*-1)),"")</f>
        <v>-53</v>
      </c>
      <c r="E8" s="52">
        <f>IF(B8&lt;&gt;0,(VLOOKUP(A8,'Etape 2 Udreg.'!$A$10:$M$40,13,FALSE)*-1),"")</f>
        <v>0</v>
      </c>
      <c r="F8" s="24">
        <f>IF(B8&lt;&gt;0,(VLOOKUP(A8,'Etape 3 Udreg. '!$A$10:$M$40,13,FALSE)*-1),"")</f>
        <v>0</v>
      </c>
      <c r="G8" s="24">
        <f>IF(B8&lt;&gt;0,((VLOOKUP(A8,'Etape 4 Udreg. '!$A$10:$M$40,13,FALSE)*-1)),"")</f>
        <v>0</v>
      </c>
      <c r="H8" s="24">
        <f>IF(B8&lt;&gt;0,(VLOOKUP(A8,'Etape 5 Udreg. '!$A$10:$M$40,13,FALSE)*-1),"")</f>
        <v>0</v>
      </c>
      <c r="I8" s="24">
        <f>IF(B8&lt;&gt;0,(VLOOKUP(A8,'Etape 6 Udreg. '!$A$10:$M$40,13,FALSE)*-1),"")</f>
        <v>0</v>
      </c>
      <c r="J8" s="24">
        <f>IF(B8&lt;&gt;0,(VLOOKUP(A8,'PP &amp; Udstyrskontrol undervejs'!$A$3:$I$33,9,FALSE)*-1),"")</f>
        <v>0</v>
      </c>
      <c r="K8" s="52">
        <f>IF(B8&lt;&gt;0,(VLOOKUP(A8,'Manuel udreg. v. mgl. EPK+Mål'!$A$4:$M$34,13,FALSE)*-1),"")</f>
        <v>0</v>
      </c>
      <c r="L8" s="238">
        <f>IF(B8&lt;&gt;0,(IF(RYTTERDATA!F8="x","25",0)*-1),"")</f>
        <v>0</v>
      </c>
      <c r="M8" s="19">
        <f t="shared" si="1"/>
        <v>187</v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27</v>
      </c>
      <c r="B9" s="115" t="str">
        <f>RYTTERDATA!B9</f>
        <v>Pernille Skov Sørensen</v>
      </c>
      <c r="C9" s="246">
        <f t="shared" si="0"/>
        <v>240</v>
      </c>
      <c r="D9" s="24">
        <f>IF(B9&lt;&gt;0,((VLOOKUP(A9,'Etape 1 Udreg.'!$A$11:$M$40,13,FALSE)*-1)),"")</f>
        <v>-53</v>
      </c>
      <c r="E9" s="52">
        <f>IF(B9&lt;&gt;0,(VLOOKUP(A9,'Etape 2 Udreg.'!$A$10:$M$40,13,FALSE)*-1),"")</f>
        <v>0</v>
      </c>
      <c r="F9" s="24">
        <f>IF(B9&lt;&gt;0,(VLOOKUP(A9,'Etape 3 Udreg. '!$A$10:$M$40,13,FALSE)*-1),"")</f>
        <v>0</v>
      </c>
      <c r="G9" s="24">
        <f>IF(B9&lt;&gt;0,((VLOOKUP(A9,'Etape 4 Udreg. '!$A$10:$M$40,13,FALSE)*-1)),"")</f>
        <v>0</v>
      </c>
      <c r="H9" s="24">
        <f>IF(B9&lt;&gt;0,(VLOOKUP(A9,'Etape 5 Udreg. '!$A$10:$M$40,13,FALSE)*-1),"")</f>
        <v>0</v>
      </c>
      <c r="I9" s="24">
        <f>IF(B9&lt;&gt;0,(VLOOKUP(A9,'Etape 6 Udreg. '!$A$10:$M$40,13,FALSE)*-1),"")</f>
        <v>0</v>
      </c>
      <c r="J9" s="24">
        <f>IF(B9&lt;&gt;0,(VLOOKUP(A9,'PP &amp; Udstyrskontrol undervejs'!$A$3:$I$33,9,FALSE)*-1),"")</f>
        <v>0</v>
      </c>
      <c r="K9" s="52">
        <f>IF(B9&lt;&gt;0,(VLOOKUP(A9,'Manuel udreg. v. mgl. EPK+Mål'!$A$4:$M$34,13,FALSE)*-1),"")</f>
        <v>0</v>
      </c>
      <c r="L9" s="238">
        <f>IF(B9&lt;&gt;0,(IF(RYTTERDATA!F9="x","25",0)*-1),"")</f>
        <v>0</v>
      </c>
      <c r="M9" s="19">
        <f t="shared" si="1"/>
        <v>187</v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28</v>
      </c>
      <c r="B10" s="115" t="str">
        <f>RYTTERDATA!B10</f>
        <v>Aliena Marie Damgaard Svendsen</v>
      </c>
      <c r="C10" s="246">
        <f t="shared" si="0"/>
        <v>240</v>
      </c>
      <c r="D10" s="24">
        <f>IF(B10&lt;&gt;0,((VLOOKUP(A10,'Etape 1 Udreg.'!$A$11:$M$40,13,FALSE)*-1)),"")</f>
        <v>-53</v>
      </c>
      <c r="E10" s="52">
        <f>IF(B10&lt;&gt;0,(VLOOKUP(A10,'Etape 2 Udreg.'!$A$10:$M$40,13,FALSE)*-1),"")</f>
        <v>0</v>
      </c>
      <c r="F10" s="24">
        <f>IF(B10&lt;&gt;0,(VLOOKUP(A10,'Etape 3 Udreg. '!$A$10:$M$40,13,FALSE)*-1),"")</f>
        <v>0</v>
      </c>
      <c r="G10" s="24">
        <f>IF(B10&lt;&gt;0,((VLOOKUP(A10,'Etape 4 Udreg. '!$A$10:$M$40,13,FALSE)*-1)),"")</f>
        <v>0</v>
      </c>
      <c r="H10" s="24">
        <f>IF(B10&lt;&gt;0,(VLOOKUP(A10,'Etape 5 Udreg. '!$A$10:$M$40,13,FALSE)*-1),"")</f>
        <v>0</v>
      </c>
      <c r="I10" s="24">
        <f>IF(B10&lt;&gt;0,(VLOOKUP(A10,'Etape 6 Udreg. '!$A$10:$M$40,13,FALSE)*-1),"")</f>
        <v>0</v>
      </c>
      <c r="J10" s="24">
        <f>IF(B10&lt;&gt;0,(VLOOKUP(A10,'PP &amp; Udstyrskontrol undervejs'!$A$3:$I$33,9,FALSE)*-1),"")</f>
        <v>0</v>
      </c>
      <c r="K10" s="52">
        <f>IF(B10&lt;&gt;0,(VLOOKUP(A10,'Manuel udreg. v. mgl. EPK+Mål'!$A$4:$M$34,13,FALSE)*-1),"")</f>
        <v>0</v>
      </c>
      <c r="L10" s="238">
        <f>IF(B10&lt;&gt;0,(IF(RYTTERDATA!F10="x","25",0)*-1),"")</f>
        <v>0</v>
      </c>
      <c r="M10" s="19">
        <f t="shared" ref="M10:M12" si="2">IF(B10&lt;&gt;0,(+C10+SUM(D10:L10)),"")</f>
        <v>187</v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51</v>
      </c>
      <c r="B11" s="115" t="str">
        <f>RYTTERDATA!B11</f>
        <v>Elisabeth Sørensen</v>
      </c>
      <c r="C11" s="246">
        <f t="shared" si="0"/>
        <v>240</v>
      </c>
      <c r="D11" s="24">
        <f>IF(B11&lt;&gt;0,((VLOOKUP(A11,'Etape 1 Udreg.'!$A$11:$M$40,13,FALSE)*-1)),"")</f>
        <v>-53</v>
      </c>
      <c r="E11" s="52">
        <f>IF(B11&lt;&gt;0,(VLOOKUP(A11,'Etape 2 Udreg.'!$A$10:$M$40,13,FALSE)*-1),"")</f>
        <v>0</v>
      </c>
      <c r="F11" s="24">
        <f>IF(B11&lt;&gt;0,(VLOOKUP(A11,'Etape 3 Udreg. '!$A$10:$M$40,13,FALSE)*-1),"")</f>
        <v>0</v>
      </c>
      <c r="G11" s="24">
        <f>IF(B11&lt;&gt;0,((VLOOKUP(A11,'Etape 4 Udreg. '!$A$10:$M$40,13,FALSE)*-1)),"")</f>
        <v>0</v>
      </c>
      <c r="H11" s="24">
        <f>IF(B11&lt;&gt;0,(VLOOKUP(A11,'Etape 5 Udreg. '!$A$10:$M$40,13,FALSE)*-1),"")</f>
        <v>0</v>
      </c>
      <c r="I11" s="24">
        <f>IF(B11&lt;&gt;0,(VLOOKUP(A11,'Etape 6 Udreg. '!$A$10:$M$40,13,FALSE)*-1),"")</f>
        <v>0</v>
      </c>
      <c r="J11" s="24">
        <f>IF(B11&lt;&gt;0,(VLOOKUP(A11,'PP &amp; Udstyrskontrol undervejs'!$A$3:$I$33,9,FALSE)*-1),"")</f>
        <v>0</v>
      </c>
      <c r="K11" s="52">
        <f>IF(B11&lt;&gt;0,(VLOOKUP(A11,'Manuel udreg. v. mgl. EPK+Mål'!$A$4:$M$34,13,FALSE)*-1),"")</f>
        <v>0</v>
      </c>
      <c r="L11" s="238">
        <f>IF(B11&lt;&gt;0,(IF(RYTTERDATA!F11="x","25",0)*-1),"")</f>
        <v>0</v>
      </c>
      <c r="M11" s="19">
        <f t="shared" si="2"/>
        <v>187</v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zoomScale="80" zoomScaleNormal="80" workbookViewId="0">
      <selection activeCell="D16" sqref="D16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16.42578125" style="8" bestFit="1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2" width="10.42578125" style="8" customWidth="1"/>
    <col min="23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58.5" customHeight="1">
      <c r="A1" s="320" t="s">
        <v>39</v>
      </c>
      <c r="B1" s="321"/>
      <c r="C1" s="321"/>
      <c r="D1" s="321"/>
      <c r="E1" s="321"/>
      <c r="F1" s="321"/>
      <c r="G1" s="321"/>
      <c r="H1" s="321"/>
      <c r="I1" s="260"/>
      <c r="J1" s="260"/>
      <c r="K1" s="316" t="s">
        <v>210</v>
      </c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  <c r="AD1" s="317"/>
      <c r="AE1" s="317"/>
    </row>
    <row r="2" spans="1:34">
      <c r="B2" s="318" t="s">
        <v>5</v>
      </c>
      <c r="C2" s="318"/>
      <c r="D2" s="318"/>
      <c r="E2" s="50">
        <v>0.41899999999999998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19" t="s">
        <v>6</v>
      </c>
      <c r="C3" s="319"/>
      <c r="D3" s="319"/>
      <c r="E3" s="50">
        <v>5</v>
      </c>
      <c r="F3" s="13">
        <f>E2/E3</f>
        <v>8.3799999999999999E-2</v>
      </c>
      <c r="G3" s="14">
        <f>F3*3600</f>
        <v>301.68</v>
      </c>
      <c r="H3" s="12">
        <f>G3/86400</f>
        <v>3.4916666666666668E-3</v>
      </c>
      <c r="I3" s="235"/>
      <c r="J3" s="11"/>
      <c r="K3" s="41"/>
      <c r="L3" s="42"/>
      <c r="M3" s="43"/>
    </row>
    <row r="4" spans="1:34" ht="15.75" thickBot="1">
      <c r="B4" s="322" t="s">
        <v>193</v>
      </c>
      <c r="C4" s="322"/>
      <c r="D4" s="322"/>
      <c r="E4" s="322"/>
      <c r="F4" s="322"/>
      <c r="G4" s="322"/>
      <c r="H4" s="248">
        <v>1.3888888888888889E-3</v>
      </c>
      <c r="I4" s="218"/>
      <c r="J4" s="234"/>
      <c r="K4" s="11"/>
      <c r="L4" s="41">
        <f>IF(L7=12,15,IF(L7=14,15,IF(L7=17,15,IF(L7=19,15,IF(L7=22,15,IF(L7=26,15,IF(L7=31,15,IF(L7=32,15,0))))))))</f>
        <v>0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0</v>
      </c>
      <c r="Q4" s="41">
        <f t="shared" si="0"/>
        <v>0</v>
      </c>
      <c r="R4" s="41">
        <f t="shared" si="0"/>
        <v>0</v>
      </c>
      <c r="S4" s="41">
        <f t="shared" si="0"/>
        <v>15</v>
      </c>
      <c r="T4" s="41">
        <f t="shared" si="0"/>
        <v>15</v>
      </c>
      <c r="U4" s="41">
        <f t="shared" si="0"/>
        <v>0</v>
      </c>
      <c r="V4" s="41">
        <f t="shared" si="0"/>
        <v>15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19" t="s">
        <v>174</v>
      </c>
      <c r="C5" s="319"/>
      <c r="D5" s="319"/>
      <c r="E5" s="9"/>
      <c r="G5" s="13"/>
      <c r="H5" s="2">
        <f>SUM(H3:H4)</f>
        <v>4.8805555555555555E-3</v>
      </c>
      <c r="I5" s="218"/>
      <c r="J5" s="314" t="s">
        <v>166</v>
      </c>
      <c r="K5" s="315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62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9.761111111111111E-3</v>
      </c>
      <c r="J6" s="222" t="s">
        <v>12</v>
      </c>
      <c r="K6" s="223" t="s">
        <v>16</v>
      </c>
      <c r="L6" s="291" t="str">
        <f>VLOOKUP(L7,'PTV Forhindringer'!$A$1:$D$36,2,FALSE)</f>
        <v>Føre over bro</v>
      </c>
      <c r="M6" s="292" t="str">
        <f>VLOOKUP(M7,'PTV Forhindringer'!$A$1:$D$36,2,FALSE)</f>
        <v>Føre gennem smal passage</v>
      </c>
      <c r="N6" s="292" t="str">
        <f>VLOOKUP(N7,'PTV Forhindringer'!$A$1:$D$36,2,FALSE)</f>
        <v>Føre gennem labyrint</v>
      </c>
      <c r="O6" s="292" t="str">
        <f>VLOOKUP(O7,'PTV Forhindringer'!$A$1:$D$36,2,FALSE)</f>
        <v>Træstamme</v>
      </c>
      <c r="P6" s="292" t="str">
        <f>VLOOKUP(P7,'PTV Forhindringer'!$A$1:$D$36,2,FALSE)</f>
        <v>Ride gennem smal passage</v>
      </c>
      <c r="Q6" s="292" t="str">
        <f>VLOOKUP(Q7,'PTV Forhindringer'!$A$1:$D$36,2,FALSE)</f>
        <v>Hæk</v>
      </c>
      <c r="R6" s="292" t="str">
        <f>VLOOKUP(R7,'PTV Forhindringer'!$A$1:$D$36,2,FALSE)</f>
        <v>Slalom</v>
      </c>
      <c r="S6" s="292" t="str">
        <f>VLOOKUP(S7,'PTV Forhindringer'!$A$1:$D$36,2,FALSE)</f>
        <v>Stilstand til hest</v>
      </c>
      <c r="T6" s="292" t="str">
        <f>VLOOKUP(T7,'PTV Forhindringer'!$A$1:$D$36,2,FALSE)</f>
        <v>Ride over bro</v>
      </c>
      <c r="U6" s="292" t="str">
        <f>VLOOKUP(U7,'PTV Forhindringer'!$A$1:$D$36,2,FALSE)</f>
        <v>Stå stille</v>
      </c>
      <c r="V6" s="292" t="str">
        <f>VLOOKUP(V7,'PTV Forhindringer'!$A$1:$D$36,2,FALSE)</f>
        <v>Ride gennem labyrint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175</v>
      </c>
      <c r="AC6" s="255" t="s">
        <v>176</v>
      </c>
      <c r="AD6" s="249" t="s">
        <v>97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40</v>
      </c>
      <c r="H7" s="57" t="s">
        <v>49</v>
      </c>
      <c r="J7" s="313" t="s">
        <v>167</v>
      </c>
      <c r="K7" s="313"/>
      <c r="L7" s="220">
        <v>25</v>
      </c>
      <c r="M7" s="219">
        <v>8</v>
      </c>
      <c r="N7" s="219">
        <v>21</v>
      </c>
      <c r="O7" s="219">
        <v>34</v>
      </c>
      <c r="P7" s="219">
        <v>9</v>
      </c>
      <c r="Q7" s="219">
        <v>18</v>
      </c>
      <c r="R7" s="219">
        <v>33</v>
      </c>
      <c r="S7" s="219">
        <v>19</v>
      </c>
      <c r="T7" s="219">
        <v>26</v>
      </c>
      <c r="U7" s="219">
        <v>20</v>
      </c>
      <c r="V7" s="219">
        <v>22</v>
      </c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1" t="s">
        <v>178</v>
      </c>
      <c r="AH7" s="312"/>
    </row>
    <row r="8" spans="1:34" ht="15" customHeight="1">
      <c r="A8" s="48">
        <f>VLOOKUP(RYTTERDATA!A5,RYTTERDATA!A5,1,FALSE)</f>
        <v>24</v>
      </c>
      <c r="B8" s="115" t="str">
        <f>VLOOKUP(A8,RYTTERDATA!$A$5:$B$34,2,FALSE)</f>
        <v>Zeziliea Larsen</v>
      </c>
      <c r="C8" s="56">
        <v>0.45833333333333331</v>
      </c>
      <c r="D8" s="56">
        <v>0.46249999999999997</v>
      </c>
      <c r="E8" s="3">
        <f>D8-C8</f>
        <v>4.1666666666666519E-3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24</v>
      </c>
      <c r="K8" s="115" t="str">
        <f>VLOOKUP(J8,RYTTERDATA!$A$5:$B$34,2,FALSE)</f>
        <v>Zeziliea Larsen</v>
      </c>
      <c r="L8" s="251">
        <v>10</v>
      </c>
      <c r="M8" s="252">
        <v>10</v>
      </c>
      <c r="N8" s="252">
        <v>9</v>
      </c>
      <c r="O8" s="252">
        <v>10</v>
      </c>
      <c r="P8" s="252">
        <v>4</v>
      </c>
      <c r="Q8" s="252">
        <v>9</v>
      </c>
      <c r="R8" s="252">
        <v>7</v>
      </c>
      <c r="S8" s="252">
        <v>0</v>
      </c>
      <c r="T8" s="252">
        <v>9</v>
      </c>
      <c r="U8" s="252">
        <v>0</v>
      </c>
      <c r="V8" s="252">
        <v>10</v>
      </c>
      <c r="W8" s="252"/>
      <c r="X8" s="252"/>
      <c r="Y8" s="252"/>
      <c r="Z8" s="252"/>
      <c r="AA8" s="252"/>
      <c r="AB8" s="256">
        <f>IF(K8&lt;&gt;0,(SUM(L8:AA8)),"")</f>
        <v>78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78</v>
      </c>
      <c r="AF8" s="34"/>
      <c r="AG8" s="209"/>
      <c r="AH8" s="224"/>
    </row>
    <row r="9" spans="1:34" ht="25.5">
      <c r="A9" s="48">
        <f>VLOOKUP(RYTTERDATA!A6,RYTTERDATA!A6,1,FALSE)</f>
        <v>25</v>
      </c>
      <c r="B9" s="115" t="str">
        <f>VLOOKUP(A9,RYTTERDATA!$A$5:$B$34,2,FALSE)</f>
        <v>Julie Andrea Cheung</v>
      </c>
      <c r="C9" s="56">
        <v>0.46180555555555558</v>
      </c>
      <c r="D9" s="56">
        <v>0.46458333333333335</v>
      </c>
      <c r="E9" s="3">
        <f>D9-C9</f>
        <v>2.7777777777777679E-3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25</v>
      </c>
      <c r="K9" s="115" t="str">
        <f>VLOOKUP(J9,RYTTERDATA!$A$5:$B$34,2,FALSE)</f>
        <v>Julie Andrea Cheung</v>
      </c>
      <c r="L9" s="221">
        <v>10</v>
      </c>
      <c r="M9" s="130">
        <v>5</v>
      </c>
      <c r="N9" s="130">
        <v>10</v>
      </c>
      <c r="O9" s="130">
        <v>10</v>
      </c>
      <c r="P9" s="130">
        <v>4</v>
      </c>
      <c r="Q9" s="130">
        <v>9</v>
      </c>
      <c r="R9" s="130">
        <v>2</v>
      </c>
      <c r="S9" s="130">
        <v>0</v>
      </c>
      <c r="T9" s="130">
        <v>8</v>
      </c>
      <c r="U9" s="130">
        <v>0</v>
      </c>
      <c r="V9" s="130">
        <v>10</v>
      </c>
      <c r="W9" s="130"/>
      <c r="X9" s="130"/>
      <c r="Y9" s="130"/>
      <c r="Z9" s="130"/>
      <c r="AA9" s="130"/>
      <c r="AB9" s="257">
        <f t="shared" ref="AB9:AB37" si="3">IF(K9&lt;&gt;0,(SUM(L9:AA9)),"")</f>
        <v>68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68</v>
      </c>
      <c r="AF9" s="34"/>
      <c r="AG9" s="209"/>
      <c r="AH9" s="9"/>
    </row>
    <row r="10" spans="1:34">
      <c r="A10" s="48">
        <f>VLOOKUP(RYTTERDATA!A7,RYTTERDATA!A7,1,FALSE)</f>
        <v>26</v>
      </c>
      <c r="B10" s="115" t="str">
        <f>VLOOKUP(A10,RYTTERDATA!$A$5:$B$34,2,FALSE)</f>
        <v>Kirstine Haugaard UDEBLEVET</v>
      </c>
      <c r="C10" s="56">
        <v>0</v>
      </c>
      <c r="D10" s="56">
        <v>0</v>
      </c>
      <c r="E10" s="3">
        <f t="shared" ref="E10:E37" si="5">D10-C10</f>
        <v>0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>
        <f t="shared" si="2"/>
        <v>0</v>
      </c>
      <c r="J10" s="48">
        <f>VLOOKUP(RYTTERDATA!A7,RYTTERDATA!A7,1,FALSE)</f>
        <v>26</v>
      </c>
      <c r="K10" s="115" t="str">
        <f>VLOOKUP(J10,RYTTERDATA!$A$5:$B$34,2,FALSE)</f>
        <v>Kirstine Haugaard UDEBLEVET</v>
      </c>
      <c r="L10" s="251">
        <v>0</v>
      </c>
      <c r="M10" s="252">
        <v>0</v>
      </c>
      <c r="N10" s="252">
        <v>0</v>
      </c>
      <c r="O10" s="252">
        <v>0</v>
      </c>
      <c r="P10" s="252">
        <v>0</v>
      </c>
      <c r="Q10" s="252">
        <v>0</v>
      </c>
      <c r="R10" s="252">
        <v>0</v>
      </c>
      <c r="S10" s="252">
        <v>0</v>
      </c>
      <c r="T10" s="252">
        <v>0</v>
      </c>
      <c r="U10" s="252">
        <v>0</v>
      </c>
      <c r="V10" s="252">
        <v>0</v>
      </c>
      <c r="W10" s="252"/>
      <c r="X10" s="252"/>
      <c r="Y10" s="252"/>
      <c r="Z10" s="252"/>
      <c r="AA10" s="252"/>
      <c r="AB10" s="256">
        <f t="shared" si="3"/>
        <v>0</v>
      </c>
      <c r="AC10" s="256">
        <f t="shared" si="1"/>
        <v>0</v>
      </c>
      <c r="AD10" s="117"/>
      <c r="AE10" s="258">
        <f t="shared" si="4"/>
        <v>0</v>
      </c>
      <c r="AF10" s="34"/>
      <c r="AG10" s="209"/>
    </row>
    <row r="11" spans="1:34" ht="15" customHeight="1">
      <c r="A11" s="48">
        <f>VLOOKUP(RYTTERDATA!A8,RYTTERDATA!A8,1,FALSE)</f>
        <v>22</v>
      </c>
      <c r="B11" s="115" t="str">
        <f>VLOOKUP(A11,RYTTERDATA!$A$5:$B$34,2,FALSE)</f>
        <v>Amanda Jarnsbøll UDEBLEVET</v>
      </c>
      <c r="C11" s="56">
        <v>0</v>
      </c>
      <c r="D11" s="56">
        <v>0</v>
      </c>
      <c r="E11" s="3">
        <f t="shared" si="5"/>
        <v>0</v>
      </c>
      <c r="F11" s="60" t="str">
        <f t="shared" si="6"/>
        <v>0</v>
      </c>
      <c r="G11" s="117">
        <f t="shared" si="7"/>
        <v>0</v>
      </c>
      <c r="H11" s="228">
        <f t="shared" si="2"/>
        <v>0</v>
      </c>
      <c r="J11" s="48">
        <f>VLOOKUP(RYTTERDATA!A8,RYTTERDATA!A8,1,FALSE)</f>
        <v>22</v>
      </c>
      <c r="K11" s="115" t="str">
        <f>VLOOKUP(J11,RYTTERDATA!$A$5:$B$34,2,FALSE)</f>
        <v>Amanda Jarnsbøll UDEBLEVET</v>
      </c>
      <c r="L11" s="221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0</v>
      </c>
      <c r="V11" s="130">
        <v>0</v>
      </c>
      <c r="W11" s="130"/>
      <c r="X11" s="130"/>
      <c r="Y11" s="130"/>
      <c r="Z11" s="130"/>
      <c r="AA11" s="130"/>
      <c r="AB11" s="257">
        <f t="shared" si="3"/>
        <v>0</v>
      </c>
      <c r="AC11" s="257">
        <f t="shared" si="1"/>
        <v>0</v>
      </c>
      <c r="AD11" s="174"/>
      <c r="AE11" s="259">
        <f t="shared" si="4"/>
        <v>0</v>
      </c>
      <c r="AF11" s="34"/>
      <c r="AG11" s="209"/>
    </row>
    <row r="12" spans="1:34" ht="25.5">
      <c r="A12" s="48">
        <f>VLOOKUP(RYTTERDATA!A9,RYTTERDATA!A9,1,FALSE)</f>
        <v>27</v>
      </c>
      <c r="B12" s="115" t="str">
        <f>VLOOKUP(A12,RYTTERDATA!$A$5:$B$34,2,FALSE)</f>
        <v>Pernille Skov Sørensen</v>
      </c>
      <c r="C12" s="56">
        <v>0.47222222222222227</v>
      </c>
      <c r="D12" s="56">
        <v>0.4770833333333333</v>
      </c>
      <c r="E12" s="3">
        <f t="shared" si="5"/>
        <v>4.8611111111110383E-3</v>
      </c>
      <c r="F12" s="60" t="str">
        <f t="shared" si="6"/>
        <v>0</v>
      </c>
      <c r="G12" s="117">
        <f t="shared" si="7"/>
        <v>0</v>
      </c>
      <c r="H12" s="228">
        <f t="shared" si="2"/>
        <v>0</v>
      </c>
      <c r="J12" s="48">
        <f>VLOOKUP(RYTTERDATA!A9,RYTTERDATA!A9,1,FALSE)</f>
        <v>27</v>
      </c>
      <c r="K12" s="115" t="str">
        <f>VLOOKUP(J12,RYTTERDATA!$A$5:$B$34,2,FALSE)</f>
        <v>Pernille Skov Sørensen</v>
      </c>
      <c r="L12" s="251">
        <v>7</v>
      </c>
      <c r="M12" s="252">
        <v>5</v>
      </c>
      <c r="N12" s="252">
        <v>0</v>
      </c>
      <c r="O12" s="252">
        <v>7</v>
      </c>
      <c r="P12" s="252">
        <v>10</v>
      </c>
      <c r="Q12" s="252">
        <v>7</v>
      </c>
      <c r="R12" s="252">
        <v>7</v>
      </c>
      <c r="S12" s="252">
        <v>0</v>
      </c>
      <c r="T12" s="252">
        <v>0</v>
      </c>
      <c r="U12" s="252">
        <v>0</v>
      </c>
      <c r="V12" s="252">
        <v>10</v>
      </c>
      <c r="W12" s="252"/>
      <c r="X12" s="252"/>
      <c r="Y12" s="252"/>
      <c r="Z12" s="252"/>
      <c r="AA12" s="252"/>
      <c r="AB12" s="256">
        <f t="shared" si="3"/>
        <v>53</v>
      </c>
      <c r="AC12" s="256">
        <f t="shared" si="1"/>
        <v>0</v>
      </c>
      <c r="AD12" s="117"/>
      <c r="AE12" s="258">
        <f t="shared" si="4"/>
        <v>53</v>
      </c>
      <c r="AF12" s="34"/>
      <c r="AG12" s="209"/>
    </row>
    <row r="13" spans="1:34" ht="38.25">
      <c r="A13" s="48">
        <f>VLOOKUP(RYTTERDATA!A10,RYTTERDATA!A10,1,FALSE)</f>
        <v>28</v>
      </c>
      <c r="B13" s="115" t="str">
        <f>VLOOKUP(A13,RYTTERDATA!$A$5:$B$34,2,FALSE)</f>
        <v>Aliena Marie Damgaard Svendsen</v>
      </c>
      <c r="C13" s="56">
        <v>0.47569444444444442</v>
      </c>
      <c r="D13" s="56">
        <v>0.47916666666666669</v>
      </c>
      <c r="E13" s="3">
        <f t="shared" si="5"/>
        <v>3.4722222222222654E-3</v>
      </c>
      <c r="F13" s="60" t="str">
        <f t="shared" si="6"/>
        <v>0</v>
      </c>
      <c r="G13" s="117">
        <f t="shared" si="7"/>
        <v>0</v>
      </c>
      <c r="H13" s="228">
        <f t="shared" si="2"/>
        <v>0</v>
      </c>
      <c r="I13" s="9"/>
      <c r="J13" s="48">
        <f>VLOOKUP(RYTTERDATA!A10,RYTTERDATA!A10,1,FALSE)</f>
        <v>28</v>
      </c>
      <c r="K13" s="115" t="str">
        <f>VLOOKUP(J13,RYTTERDATA!$A$5:$B$34,2,FALSE)</f>
        <v>Aliena Marie Damgaard Svendsen</v>
      </c>
      <c r="L13" s="221">
        <v>10</v>
      </c>
      <c r="M13" s="130">
        <v>5</v>
      </c>
      <c r="N13" s="130">
        <v>6</v>
      </c>
      <c r="O13" s="130">
        <v>6</v>
      </c>
      <c r="P13" s="130">
        <v>10</v>
      </c>
      <c r="Q13" s="130">
        <v>10</v>
      </c>
      <c r="R13" s="130">
        <v>7</v>
      </c>
      <c r="S13" s="130">
        <v>8</v>
      </c>
      <c r="T13" s="130">
        <v>7</v>
      </c>
      <c r="U13" s="130">
        <v>0</v>
      </c>
      <c r="V13" s="130">
        <v>10</v>
      </c>
      <c r="W13" s="130"/>
      <c r="X13" s="130"/>
      <c r="Y13" s="130"/>
      <c r="Z13" s="130"/>
      <c r="AA13" s="130"/>
      <c r="AB13" s="257">
        <f t="shared" si="3"/>
        <v>79</v>
      </c>
      <c r="AC13" s="257">
        <f t="shared" si="1"/>
        <v>0</v>
      </c>
      <c r="AD13" s="174"/>
      <c r="AE13" s="259">
        <f t="shared" si="4"/>
        <v>79</v>
      </c>
      <c r="AF13" s="34"/>
      <c r="AG13" s="209"/>
    </row>
    <row r="14" spans="1:34" ht="15" customHeight="1">
      <c r="A14" s="48">
        <f>VLOOKUP(RYTTERDATA!A11,RYTTERDATA!A11,1,FALSE)</f>
        <v>51</v>
      </c>
      <c r="B14" s="115" t="str">
        <f>VLOOKUP(A14,RYTTERDATA!$A$5:$B$34,2,FALSE)</f>
        <v>Elisabeth Sørensen</v>
      </c>
      <c r="C14" s="56">
        <v>0.47916666666666669</v>
      </c>
      <c r="D14" s="56">
        <v>0.48194444444444445</v>
      </c>
      <c r="E14" s="3">
        <f t="shared" si="5"/>
        <v>2.7777777777777679E-3</v>
      </c>
      <c r="F14" s="60" t="str">
        <f t="shared" si="6"/>
        <v>0</v>
      </c>
      <c r="G14" s="117">
        <f t="shared" si="7"/>
        <v>0</v>
      </c>
      <c r="H14" s="228">
        <f t="shared" si="2"/>
        <v>0</v>
      </c>
      <c r="I14" s="9"/>
      <c r="J14" s="48">
        <f>VLOOKUP(RYTTERDATA!A11,RYTTERDATA!A11,1,FALSE)</f>
        <v>51</v>
      </c>
      <c r="K14" s="115" t="str">
        <f>VLOOKUP(J14,RYTTERDATA!$A$5:$B$34,2,FALSE)</f>
        <v>Elisabeth Sørensen</v>
      </c>
      <c r="L14" s="251">
        <v>10</v>
      </c>
      <c r="M14" s="252">
        <v>10</v>
      </c>
      <c r="N14" s="252">
        <v>9</v>
      </c>
      <c r="O14" s="252">
        <v>10</v>
      </c>
      <c r="P14" s="252">
        <v>4</v>
      </c>
      <c r="Q14" s="252">
        <v>6</v>
      </c>
      <c r="R14" s="252">
        <v>7</v>
      </c>
      <c r="S14" s="252">
        <v>0</v>
      </c>
      <c r="T14" s="252">
        <v>10</v>
      </c>
      <c r="U14" s="252">
        <v>0</v>
      </c>
      <c r="V14" s="252">
        <v>7</v>
      </c>
      <c r="W14" s="252"/>
      <c r="X14" s="252"/>
      <c r="Y14" s="252"/>
      <c r="Z14" s="252"/>
      <c r="AA14" s="252"/>
      <c r="AB14" s="256">
        <f t="shared" si="3"/>
        <v>73</v>
      </c>
      <c r="AC14" s="256">
        <f t="shared" si="1"/>
        <v>0</v>
      </c>
      <c r="AD14" s="117"/>
      <c r="AE14" s="258">
        <f t="shared" si="4"/>
        <v>73</v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123</v>
      </c>
      <c r="B1" s="1" t="s">
        <v>124</v>
      </c>
      <c r="C1" s="1" t="s">
        <v>125</v>
      </c>
      <c r="D1" s="1" t="s">
        <v>126</v>
      </c>
    </row>
    <row r="2" spans="1:4">
      <c r="A2" s="208">
        <v>1</v>
      </c>
      <c r="B2" s="1" t="s">
        <v>127</v>
      </c>
      <c r="C2" s="208">
        <v>0</v>
      </c>
      <c r="D2" s="1" t="s">
        <v>130</v>
      </c>
    </row>
    <row r="3" spans="1:4">
      <c r="A3" s="208">
        <v>2</v>
      </c>
      <c r="B3" s="1" t="s">
        <v>146</v>
      </c>
      <c r="C3" s="208">
        <v>0</v>
      </c>
      <c r="D3" s="1" t="s">
        <v>147</v>
      </c>
    </row>
    <row r="4" spans="1:4">
      <c r="A4" s="208">
        <v>3</v>
      </c>
      <c r="B4" s="1" t="s">
        <v>128</v>
      </c>
      <c r="C4" s="208">
        <v>0</v>
      </c>
      <c r="D4" s="1" t="s">
        <v>130</v>
      </c>
    </row>
    <row r="5" spans="1:4">
      <c r="A5" s="232">
        <v>4</v>
      </c>
      <c r="B5" s="1" t="s">
        <v>153</v>
      </c>
      <c r="C5" s="208">
        <v>15</v>
      </c>
      <c r="D5" s="1" t="s">
        <v>152</v>
      </c>
    </row>
    <row r="6" spans="1:4">
      <c r="A6" s="232">
        <v>5</v>
      </c>
      <c r="B6" s="1" t="s">
        <v>131</v>
      </c>
      <c r="C6" s="208">
        <v>0</v>
      </c>
      <c r="D6" s="1" t="s">
        <v>132</v>
      </c>
    </row>
    <row r="7" spans="1:4">
      <c r="A7" s="232">
        <v>6</v>
      </c>
      <c r="B7" s="1" t="s">
        <v>154</v>
      </c>
      <c r="C7" s="208">
        <v>15</v>
      </c>
      <c r="D7" s="1" t="s">
        <v>152</v>
      </c>
    </row>
    <row r="8" spans="1:4">
      <c r="A8" s="232">
        <v>7</v>
      </c>
      <c r="B8" s="1" t="s">
        <v>133</v>
      </c>
      <c r="C8" s="208">
        <v>0</v>
      </c>
      <c r="D8" s="1" t="s">
        <v>132</v>
      </c>
    </row>
    <row r="9" spans="1:4">
      <c r="A9" s="232">
        <v>8</v>
      </c>
      <c r="B9" s="1" t="s">
        <v>151</v>
      </c>
      <c r="C9" s="208">
        <v>15</v>
      </c>
      <c r="D9" s="1" t="s">
        <v>152</v>
      </c>
    </row>
    <row r="10" spans="1:4">
      <c r="A10" s="232">
        <v>9</v>
      </c>
      <c r="B10" s="1" t="s">
        <v>129</v>
      </c>
      <c r="C10" s="208">
        <v>0</v>
      </c>
      <c r="D10" s="1" t="s">
        <v>130</v>
      </c>
    </row>
    <row r="11" spans="1:4">
      <c r="A11" s="208">
        <v>10</v>
      </c>
      <c r="B11" s="1" t="s">
        <v>148</v>
      </c>
      <c r="C11" s="208">
        <v>0</v>
      </c>
      <c r="D11" s="1" t="s">
        <v>147</v>
      </c>
    </row>
    <row r="12" spans="1:4">
      <c r="A12" s="208">
        <v>11</v>
      </c>
      <c r="B12" s="1" t="s">
        <v>155</v>
      </c>
      <c r="C12" s="208">
        <v>15</v>
      </c>
      <c r="D12" s="1" t="s">
        <v>152</v>
      </c>
    </row>
    <row r="13" spans="1:4">
      <c r="A13" s="208">
        <v>12</v>
      </c>
      <c r="B13" s="1" t="s">
        <v>138</v>
      </c>
      <c r="C13" s="208">
        <v>15</v>
      </c>
      <c r="D13" s="1" t="s">
        <v>139</v>
      </c>
    </row>
    <row r="14" spans="1:4">
      <c r="A14" s="208">
        <v>13</v>
      </c>
      <c r="B14" s="1" t="s">
        <v>156</v>
      </c>
      <c r="C14" s="208">
        <v>15</v>
      </c>
      <c r="D14" s="1" t="s">
        <v>152</v>
      </c>
    </row>
    <row r="15" spans="1:4">
      <c r="A15" s="208">
        <v>14</v>
      </c>
      <c r="B15" s="1" t="s">
        <v>140</v>
      </c>
      <c r="C15" s="208">
        <v>15</v>
      </c>
      <c r="D15" s="1" t="s">
        <v>139</v>
      </c>
    </row>
    <row r="16" spans="1:4">
      <c r="A16" s="208">
        <v>15</v>
      </c>
      <c r="B16" s="1" t="s">
        <v>157</v>
      </c>
      <c r="C16" s="208">
        <v>15</v>
      </c>
      <c r="D16" s="1" t="s">
        <v>152</v>
      </c>
    </row>
    <row r="17" spans="1:4">
      <c r="A17" s="208">
        <v>16</v>
      </c>
      <c r="B17" s="1" t="s">
        <v>134</v>
      </c>
      <c r="C17" s="208">
        <v>0</v>
      </c>
      <c r="D17" s="1" t="s">
        <v>132</v>
      </c>
    </row>
    <row r="18" spans="1:4">
      <c r="A18" s="208">
        <v>17</v>
      </c>
      <c r="B18" s="1" t="s">
        <v>141</v>
      </c>
      <c r="C18" s="208">
        <v>15</v>
      </c>
      <c r="D18" s="1" t="s">
        <v>139</v>
      </c>
    </row>
    <row r="19" spans="1:4">
      <c r="A19" s="208">
        <v>18</v>
      </c>
      <c r="B19" s="1" t="s">
        <v>135</v>
      </c>
      <c r="C19" s="208">
        <v>0</v>
      </c>
      <c r="D19" s="1" t="s">
        <v>132</v>
      </c>
    </row>
    <row r="20" spans="1:4">
      <c r="A20" s="208">
        <v>19</v>
      </c>
      <c r="B20" s="1" t="s">
        <v>142</v>
      </c>
      <c r="C20" s="208">
        <v>15</v>
      </c>
      <c r="D20" s="1" t="s">
        <v>139</v>
      </c>
    </row>
    <row r="21" spans="1:4">
      <c r="A21" s="208">
        <v>20</v>
      </c>
      <c r="B21" s="1" t="s">
        <v>158</v>
      </c>
      <c r="C21" s="208">
        <v>15</v>
      </c>
      <c r="D21" s="1" t="s">
        <v>152</v>
      </c>
    </row>
    <row r="22" spans="1:4">
      <c r="A22" s="208">
        <v>21</v>
      </c>
      <c r="B22" s="1" t="s">
        <v>159</v>
      </c>
      <c r="C22" s="208">
        <v>15</v>
      </c>
      <c r="D22" s="1" t="s">
        <v>152</v>
      </c>
    </row>
    <row r="23" spans="1:4">
      <c r="A23" s="208">
        <v>22</v>
      </c>
      <c r="B23" s="1" t="s">
        <v>143</v>
      </c>
      <c r="C23" s="208">
        <v>15</v>
      </c>
      <c r="D23" s="1" t="s">
        <v>139</v>
      </c>
    </row>
    <row r="24" spans="1:4">
      <c r="A24" s="208">
        <v>23</v>
      </c>
      <c r="B24" s="1" t="s">
        <v>45</v>
      </c>
      <c r="C24" s="208">
        <v>15</v>
      </c>
      <c r="D24" s="1" t="s">
        <v>152</v>
      </c>
    </row>
    <row r="25" spans="1:4">
      <c r="A25" s="208">
        <v>24</v>
      </c>
      <c r="B25" s="1" t="s">
        <v>136</v>
      </c>
      <c r="C25" s="208">
        <v>0</v>
      </c>
      <c r="D25" s="1" t="s">
        <v>132</v>
      </c>
    </row>
    <row r="26" spans="1:4">
      <c r="A26" s="208">
        <v>25</v>
      </c>
      <c r="B26" s="1" t="s">
        <v>160</v>
      </c>
      <c r="C26" s="208">
        <v>15</v>
      </c>
      <c r="D26" s="1" t="s">
        <v>152</v>
      </c>
    </row>
    <row r="27" spans="1:4">
      <c r="A27" s="208">
        <v>26</v>
      </c>
      <c r="B27" s="1" t="s">
        <v>144</v>
      </c>
      <c r="C27" s="208">
        <v>15</v>
      </c>
      <c r="D27" s="1" t="s">
        <v>139</v>
      </c>
    </row>
    <row r="28" spans="1:4">
      <c r="A28" s="208">
        <v>27</v>
      </c>
      <c r="B28" s="1" t="s">
        <v>161</v>
      </c>
      <c r="C28" s="208">
        <v>15</v>
      </c>
      <c r="D28" s="1" t="s">
        <v>152</v>
      </c>
    </row>
    <row r="29" spans="1:4">
      <c r="A29" s="208">
        <v>28</v>
      </c>
      <c r="B29" s="1" t="s">
        <v>149</v>
      </c>
      <c r="C29" s="208">
        <v>0</v>
      </c>
      <c r="D29" s="1" t="s">
        <v>147</v>
      </c>
    </row>
    <row r="30" spans="1:4">
      <c r="A30" s="208">
        <v>29</v>
      </c>
      <c r="B30" s="1" t="s">
        <v>162</v>
      </c>
      <c r="C30" s="208">
        <v>15</v>
      </c>
      <c r="D30" s="1" t="s">
        <v>152</v>
      </c>
    </row>
    <row r="31" spans="1:4">
      <c r="A31" s="208">
        <v>30</v>
      </c>
      <c r="B31" s="1" t="s">
        <v>150</v>
      </c>
      <c r="C31" s="208">
        <v>0</v>
      </c>
      <c r="D31" s="1" t="s">
        <v>147</v>
      </c>
    </row>
    <row r="32" spans="1:4">
      <c r="A32" s="208">
        <v>31</v>
      </c>
      <c r="B32" s="1" t="s">
        <v>46</v>
      </c>
      <c r="C32" s="208">
        <v>15</v>
      </c>
      <c r="D32" s="1" t="s">
        <v>139</v>
      </c>
    </row>
    <row r="33" spans="1:4">
      <c r="A33" s="208">
        <v>32</v>
      </c>
      <c r="B33" s="1" t="s">
        <v>145</v>
      </c>
      <c r="C33" s="208">
        <v>15</v>
      </c>
      <c r="D33" s="1" t="s">
        <v>139</v>
      </c>
    </row>
    <row r="34" spans="1:4">
      <c r="A34" s="208">
        <v>33</v>
      </c>
      <c r="B34" s="1" t="s">
        <v>47</v>
      </c>
      <c r="C34" s="208">
        <v>0</v>
      </c>
      <c r="D34" s="1" t="s">
        <v>130</v>
      </c>
    </row>
    <row r="35" spans="1:4">
      <c r="A35" s="208">
        <v>34</v>
      </c>
      <c r="B35" s="1" t="s">
        <v>137</v>
      </c>
      <c r="C35" s="208">
        <v>0</v>
      </c>
      <c r="D35" s="1" t="s">
        <v>132</v>
      </c>
    </row>
    <row r="36" spans="1:4">
      <c r="A36" s="208">
        <v>35</v>
      </c>
      <c r="B36" s="1" t="s">
        <v>163</v>
      </c>
      <c r="C36" s="208">
        <v>15</v>
      </c>
      <c r="D36" s="1" t="s">
        <v>152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4" width="11.5703125" style="8" customWidth="1"/>
    <col min="5" max="5" width="11" style="8" customWidth="1"/>
    <col min="6" max="6" width="9.5703125" style="83" customWidth="1"/>
    <col min="7" max="7" width="9" style="8" customWidth="1"/>
    <col min="8" max="8" width="11.42578125" style="8" customWidth="1"/>
    <col min="9" max="9" width="12.28515625" style="8" bestFit="1" customWidth="1"/>
    <col min="10" max="10" width="7.140625" style="8" customWidth="1"/>
    <col min="11" max="11" width="5.28515625" style="8" customWidth="1"/>
    <col min="12" max="12" width="9.140625" style="8"/>
    <col min="13" max="13" width="14.85546875" style="8" bestFit="1" customWidth="1"/>
    <col min="14" max="18" width="9.140625" style="8"/>
    <col min="19" max="19" width="13.42578125" style="8" customWidth="1"/>
    <col min="20" max="16384" width="9.140625" style="8"/>
  </cols>
  <sheetData>
    <row r="1" spans="1:20" ht="31.5">
      <c r="A1" s="324" t="s">
        <v>17</v>
      </c>
      <c r="B1" s="325"/>
      <c r="C1" s="325"/>
      <c r="D1" s="325"/>
      <c r="E1" s="325"/>
      <c r="F1" s="325"/>
      <c r="G1" s="325"/>
      <c r="H1" s="325"/>
      <c r="I1" s="326"/>
      <c r="L1" s="317"/>
      <c r="M1" s="317"/>
      <c r="N1" s="317"/>
      <c r="O1" s="317"/>
      <c r="P1" s="317"/>
      <c r="Q1" s="317"/>
      <c r="R1" s="317"/>
      <c r="S1" s="317"/>
    </row>
    <row r="2" spans="1:20" ht="16.5" customHeight="1">
      <c r="A2" s="71"/>
      <c r="B2" s="323" t="s">
        <v>65</v>
      </c>
      <c r="C2" s="323"/>
      <c r="D2" s="323"/>
      <c r="E2" s="72"/>
      <c r="F2" s="72"/>
      <c r="G2" s="73"/>
      <c r="H2" s="73"/>
      <c r="I2" s="73"/>
      <c r="J2" s="7"/>
      <c r="L2" s="11"/>
      <c r="M2" s="11"/>
      <c r="N2" s="11"/>
      <c r="O2" s="11"/>
      <c r="P2" s="11"/>
      <c r="Q2" s="11"/>
      <c r="R2" s="11"/>
      <c r="S2" s="11"/>
    </row>
    <row r="3" spans="1:20">
      <c r="A3" s="71"/>
      <c r="B3" s="73"/>
      <c r="C3" s="73"/>
      <c r="D3" s="73"/>
      <c r="E3" s="73"/>
      <c r="F3" s="84"/>
      <c r="G3" s="73"/>
      <c r="H3" s="73"/>
      <c r="I3" s="73"/>
      <c r="L3" s="11"/>
      <c r="M3" s="11"/>
      <c r="N3" s="11"/>
      <c r="O3" s="11"/>
      <c r="P3" s="11"/>
      <c r="Q3" s="11"/>
      <c r="R3" s="11"/>
      <c r="S3" s="11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1"/>
      <c r="N4" s="11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24</v>
      </c>
      <c r="B5" s="129" t="str">
        <f>RYTTERDATA!B5</f>
        <v>Zeziliea Larsen</v>
      </c>
      <c r="C5" s="127" t="s">
        <v>59</v>
      </c>
      <c r="D5" s="131"/>
      <c r="E5" s="123" t="b">
        <f>IF(C5="G",VLOOKUP(D5,'Matrix 75 m'!$D$4:$E$7837,2,FALSE),IF(C5="T",VLOOKUP(D5,'Matrix 75 m'!$G$4:$H$7837,2,FALSE)))</f>
        <v>0</v>
      </c>
      <c r="F5" s="82" t="s">
        <v>59</v>
      </c>
      <c r="G5" s="76"/>
      <c r="H5" s="124" t="b">
        <f>IF(F5="S",VLOOKUP(G5,'Matrix 75 m'!$A$4:$B$7837,2,FALSE))</f>
        <v>0</v>
      </c>
      <c r="I5" s="77"/>
      <c r="J5" s="78">
        <f t="shared" ref="J5:J10" si="0"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25</v>
      </c>
      <c r="B6" s="129" t="str">
        <f>RYTTERDATA!B6</f>
        <v>Julie Andrea Cheung</v>
      </c>
      <c r="C6" s="82" t="s">
        <v>59</v>
      </c>
      <c r="D6" s="79"/>
      <c r="E6" s="123" t="b">
        <f>IF(C6="G",VLOOKUP(D6,'Matrix 75 m'!$D$4:$E$7837,2,FALSE),IF(C6="T",VLOOKUP(D6,'Matrix 75 m'!$G$4:$H$7837,2,FALSE)))</f>
        <v>0</v>
      </c>
      <c r="F6" s="82" t="s">
        <v>59</v>
      </c>
      <c r="G6" s="81"/>
      <c r="H6" s="124" t="b">
        <f>IF(F6="S",VLOOKUP(G6,'Matrix 75 m'!$A$4:$B$7837,2,FALSE))</f>
        <v>0</v>
      </c>
      <c r="I6" s="77"/>
      <c r="J6" s="78">
        <f t="shared" si="0"/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26</v>
      </c>
      <c r="B7" s="129" t="str">
        <f>RYTTERDATA!B7</f>
        <v>Kirstine Haugaard UDEBLEVET</v>
      </c>
      <c r="C7" s="82" t="s">
        <v>59</v>
      </c>
      <c r="D7" s="79"/>
      <c r="E7" s="123" t="b">
        <f>IF(C7="G",VLOOKUP(D7,'Matrix 75 m'!$D$4:$E$7837,2,FALSE),IF(C7="T",VLOOKUP(D7,'Matrix 75 m'!$G$4:$H$7837,2,FALSE)))</f>
        <v>0</v>
      </c>
      <c r="F7" s="82" t="s">
        <v>59</v>
      </c>
      <c r="G7" s="81"/>
      <c r="H7" s="124" t="b">
        <f>IF(F7="S",VLOOKUP(G7,'Matrix 75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Amanda Jarnsbøll UDEBLEVET</v>
      </c>
      <c r="C8" s="82" t="s">
        <v>59</v>
      </c>
      <c r="D8" s="79"/>
      <c r="E8" s="123" t="b">
        <f>IF(C8="G",VLOOKUP(D8,'Matrix 75 m'!$D$4:$E$7837,2,FALSE),IF(C8="T",VLOOKUP(D8,'Matrix 75 m'!$G$4:$H$7837,2,FALSE)))</f>
        <v>0</v>
      </c>
      <c r="F8" s="82" t="s">
        <v>59</v>
      </c>
      <c r="G8" s="81"/>
      <c r="H8" s="124" t="b">
        <f>IF(F8="S",VLOOKUP(G8,'Matrix 75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27</v>
      </c>
      <c r="B9" s="129" t="str">
        <f>RYTTERDATA!B9</f>
        <v>Pernille Skov Sørensen</v>
      </c>
      <c r="C9" s="82" t="s">
        <v>59</v>
      </c>
      <c r="D9" s="81"/>
      <c r="E9" s="123" t="b">
        <f>IF(C9="G",VLOOKUP(D9,'Matrix 75 m'!$D$4:$E$7837,2,FALSE),IF(C9="T",VLOOKUP(D9,'Matrix 75 m'!$G$4:$H$7837,2,FALSE)))</f>
        <v>0</v>
      </c>
      <c r="F9" s="82" t="s">
        <v>59</v>
      </c>
      <c r="G9" s="81"/>
      <c r="H9" s="124" t="b">
        <f>IF(F9="S",VLOOKUP(G9,'Matrix 75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28</v>
      </c>
      <c r="B10" s="129" t="str">
        <f>RYTTERDATA!B10</f>
        <v>Aliena Marie Damgaard Svendsen</v>
      </c>
      <c r="C10" s="82" t="s">
        <v>59</v>
      </c>
      <c r="D10" s="81"/>
      <c r="E10" s="123" t="b">
        <f>IF(C10="G",VLOOKUP(D10,'Matrix 75 m'!$D$4:$E$7837,2,FALSE),IF(C10="T",VLOOKUP(D10,'Matrix 75 m'!$G$4:$H$7837,2,FALSE)))</f>
        <v>0</v>
      </c>
      <c r="F10" s="82" t="s">
        <v>59</v>
      </c>
      <c r="G10" s="81"/>
      <c r="H10" s="124" t="b">
        <f>IF(F10="S",VLOOKUP(G10,'Matrix 75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51</v>
      </c>
      <c r="B11" s="129" t="str">
        <f>RYTTERDATA!B11</f>
        <v>Elisabeth Sørensen</v>
      </c>
      <c r="C11" s="82" t="s">
        <v>59</v>
      </c>
      <c r="D11" s="81"/>
      <c r="E11" s="123" t="b">
        <f>IF(C11="G",VLOOKUP(D11,'Matrix 75 m'!$D$4:$E$7837,2,FALSE),IF(C11="T",VLOOKUP(D11,'Matrix 75 m'!$G$4:$H$7837,2,FALSE)))</f>
        <v>0</v>
      </c>
      <c r="F11" s="82" t="s">
        <v>59</v>
      </c>
      <c r="G11" s="81"/>
      <c r="H11" s="124" t="b">
        <f>IF(F11="S",VLOOKUP(G11,'Matrix 75 m'!$A$4:$B$7837,2,FALSE))</f>
        <v>0</v>
      </c>
      <c r="I11" s="77"/>
      <c r="J11" s="78">
        <f t="shared" ref="J11:J34" si="1">IF(B11&lt;&gt;0,(E11+H11-I11),"")</f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1"/>
      <c r="E12" s="123" t="b">
        <f>IF(C12="G",VLOOKUP(D12,'Matrix 75 m'!$D$4:$E$7837,2,FALSE),IF(C12="T",VLOOKUP(D12,'Matrix 75 m'!$G$4:$H$7837,2,FALSE)))</f>
        <v>0</v>
      </c>
      <c r="F12" s="82" t="s">
        <v>59</v>
      </c>
      <c r="G12" s="81"/>
      <c r="H12" s="124" t="b">
        <f>IF(F12="S",VLOOKUP(G12,'Matrix 75 m'!$A$4:$B$7837,2,FALSE))</f>
        <v>0</v>
      </c>
      <c r="I12" s="77"/>
      <c r="J12" s="78" t="str">
        <f t="shared" si="1"/>
        <v/>
      </c>
      <c r="K12" s="6"/>
      <c r="L12" s="17"/>
      <c r="M12" s="11"/>
      <c r="N12" s="11"/>
      <c r="O12" s="11"/>
      <c r="P12" s="11"/>
      <c r="Q12" s="11"/>
      <c r="R12" s="11"/>
      <c r="S12" s="11"/>
      <c r="T12" s="11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1"/>
      <c r="E13" s="123" t="b">
        <f>IF(C13="G",VLOOKUP(D13,'Matrix 75 m'!$D$4:$E$7837,2,FALSE),IF(C13="T",VLOOKUP(D13,'Matrix 75 m'!$G$4:$H$7837,2,FALSE)))</f>
        <v>0</v>
      </c>
      <c r="F13" s="82" t="s">
        <v>59</v>
      </c>
      <c r="G13" s="81"/>
      <c r="H13" s="124" t="b">
        <f>IF(F13="S",VLOOKUP(G13,'Matrix 75 m'!$A$4:$B$7837,2,FALSE))</f>
        <v>0</v>
      </c>
      <c r="I13" s="77"/>
      <c r="J13" s="78" t="str">
        <f t="shared" si="1"/>
        <v/>
      </c>
      <c r="K13" s="6"/>
      <c r="L13" s="17"/>
      <c r="M13" s="11"/>
      <c r="N13" s="11"/>
      <c r="O13" s="11"/>
      <c r="P13" s="11"/>
      <c r="Q13" s="11"/>
      <c r="R13" s="11"/>
      <c r="S13" s="11"/>
      <c r="T13" s="11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1"/>
      <c r="E14" s="123" t="b">
        <f>IF(C14="G",VLOOKUP(D14,'Matrix 75 m'!$D$4:$E$7837,2,FALSE),IF(C14="T",VLOOKUP(D14,'Matrix 75 m'!$G$4:$H$7837,2,FALSE)))</f>
        <v>0</v>
      </c>
      <c r="F14" s="82" t="s">
        <v>59</v>
      </c>
      <c r="G14" s="81"/>
      <c r="H14" s="124" t="b">
        <f>IF(F14="S",VLOOKUP(G14,'Matrix 75 m'!$A$4:$B$7837,2,FALSE))</f>
        <v>0</v>
      </c>
      <c r="I14" s="77"/>
      <c r="J14" s="78" t="str">
        <f t="shared" si="1"/>
        <v/>
      </c>
      <c r="K14" s="6"/>
      <c r="L14" s="17"/>
      <c r="M14" s="11"/>
      <c r="N14" s="11"/>
      <c r="O14" s="11"/>
      <c r="P14" s="11"/>
      <c r="Q14" s="11"/>
      <c r="R14" s="11"/>
      <c r="S14" s="11"/>
      <c r="T14" s="11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1"/>
      <c r="E15" s="123" t="b">
        <f>IF(C15="G",VLOOKUP(D15,'Matrix 75 m'!$D$4:$E$7837,2,FALSE),IF(C15="T",VLOOKUP(D15,'Matrix 75 m'!$G$4:$H$7837,2,FALSE)))</f>
        <v>0</v>
      </c>
      <c r="F15" s="82" t="s">
        <v>59</v>
      </c>
      <c r="G15" s="81"/>
      <c r="H15" s="124" t="b">
        <f>IF(F15="S",VLOOKUP(G15,'Matrix 75 m'!$A$4:$B$7837,2,FALSE))</f>
        <v>0</v>
      </c>
      <c r="I15" s="77"/>
      <c r="J15" s="78" t="str">
        <f t="shared" si="1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1"/>
      <c r="E16" s="123" t="b">
        <f>IF(C16="G",VLOOKUP(D16,'Matrix 75 m'!$D$4:$E$7837,2,FALSE),IF(C16="T",VLOOKUP(D16,'Matrix 75 m'!$G$4:$H$7837,2,FALSE)))</f>
        <v>0</v>
      </c>
      <c r="F16" s="82" t="s">
        <v>59</v>
      </c>
      <c r="G16" s="81"/>
      <c r="H16" s="124" t="b">
        <f>IF(F16="S",VLOOKUP(G16,'Matrix 75 m'!$A$4:$B$7837,2,FALSE))</f>
        <v>0</v>
      </c>
      <c r="I16" s="77"/>
      <c r="J16" s="78" t="str">
        <f t="shared" si="1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1"/>
      <c r="E17" s="123" t="b">
        <f>IF(C17="G",VLOOKUP(D17,'Matrix 75 m'!$D$4:$E$7837,2,FALSE),IF(C17="T",VLOOKUP(D17,'Matrix 75 m'!$G$4:$H$7837,2,FALSE)))</f>
        <v>0</v>
      </c>
      <c r="F17" s="82" t="s">
        <v>59</v>
      </c>
      <c r="G17" s="81"/>
      <c r="H17" s="124" t="b">
        <f>IF(F17="S",VLOOKUP(G17,'Matrix 75 m'!$A$4:$B$7837,2,FALSE))</f>
        <v>0</v>
      </c>
      <c r="I17" s="77"/>
      <c r="J17" s="78" t="str">
        <f t="shared" si="1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1"/>
      <c r="E18" s="123" t="b">
        <f>IF(C18="G",VLOOKUP(D18,'Matrix 75 m'!$D$4:$E$7837,2,FALSE),IF(C18="T",VLOOKUP(D18,'Matrix 75 m'!$G$4:$H$7837,2,FALSE)))</f>
        <v>0</v>
      </c>
      <c r="F18" s="82" t="s">
        <v>59</v>
      </c>
      <c r="G18" s="81"/>
      <c r="H18" s="124" t="b">
        <f>IF(F18="S",VLOOKUP(G18,'Matrix 75 m'!$A$4:$B$7837,2,FALSE))</f>
        <v>0</v>
      </c>
      <c r="I18" s="77"/>
      <c r="J18" s="78" t="str">
        <f t="shared" si="1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75 m'!$D$4:$E$7837,2,FALSE),IF(C19="T",VLOOKUP(D19,'Matrix 75 m'!$G$4:$H$7837,2,FALSE)))</f>
        <v>0</v>
      </c>
      <c r="F19" s="82" t="s">
        <v>59</v>
      </c>
      <c r="G19" s="80"/>
      <c r="H19" s="124" t="b">
        <f>IF(F19="S",VLOOKUP(G19,'Matrix 75 m'!$A$4:$B$7837,2,FALSE))</f>
        <v>0</v>
      </c>
      <c r="I19" s="77"/>
      <c r="J19" s="78" t="str">
        <f t="shared" si="1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1"/>
      <c r="E20" s="123" t="b">
        <f>IF(C20="G",VLOOKUP(D20,'Matrix 75 m'!$D$4:$E$7837,2,FALSE),IF(C20="T",VLOOKUP(D20,'Matrix 75 m'!$G$4:$H$7837,2,FALSE)))</f>
        <v>0</v>
      </c>
      <c r="F20" s="82" t="s">
        <v>59</v>
      </c>
      <c r="G20" s="80"/>
      <c r="H20" s="124" t="b">
        <f>IF(F20="S",VLOOKUP(G20,'Matrix 75 m'!$A$4:$B$7837,2,FALSE))</f>
        <v>0</v>
      </c>
      <c r="I20" s="77"/>
      <c r="J20" s="78" t="str">
        <f t="shared" si="1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1"/>
      <c r="E21" s="123" t="b">
        <f>IF(C21="G",VLOOKUP(D21,'Matrix 75 m'!$D$4:$E$7837,2,FALSE),IF(C21="T",VLOOKUP(D21,'Matrix 75 m'!$G$4:$H$7837,2,FALSE)))</f>
        <v>0</v>
      </c>
      <c r="F21" s="82" t="s">
        <v>59</v>
      </c>
      <c r="G21" s="81"/>
      <c r="H21" s="124" t="b">
        <f>IF(F21="S",VLOOKUP(G21,'Matrix 75 m'!$A$4:$B$7837,2,FALSE))</f>
        <v>0</v>
      </c>
      <c r="I21" s="77"/>
      <c r="J21" s="78" t="str">
        <f t="shared" si="1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75 m'!$D$4:$E$7837,2,FALSE),IF(C22="T",VLOOKUP(D22,'Matrix 75 m'!$G$4:$H$7837,2,FALSE)))</f>
        <v>0</v>
      </c>
      <c r="F22" s="82" t="s">
        <v>59</v>
      </c>
      <c r="G22" s="82"/>
      <c r="H22" s="124" t="b">
        <f>IF(F22="S",VLOOKUP(G22,'Matrix 75 m'!$A$4:$B$7837,2,FALSE))</f>
        <v>0</v>
      </c>
      <c r="I22" s="82"/>
      <c r="J22" s="78" t="str">
        <f t="shared" si="1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207"/>
      <c r="E23" s="123" t="b">
        <f>IF(C23="G",VLOOKUP(D23,'Matrix 75 m'!$D$4:$E$7837,2,FALSE),IF(C23="T",VLOOKUP(D23,'Matrix 75 m'!$G$4:$H$7837,2,FALSE)))</f>
        <v>0</v>
      </c>
      <c r="F23" s="82" t="s">
        <v>59</v>
      </c>
      <c r="G23" s="82"/>
      <c r="H23" s="124" t="b">
        <f>IF(F23="S",VLOOKUP(G23,'Matrix 75 m'!$A$4:$B$7837,2,FALSE))</f>
        <v>0</v>
      </c>
      <c r="I23" s="82"/>
      <c r="J23" s="78" t="str">
        <f t="shared" si="1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75 m'!$D$4:$E$7837,2,FALSE),IF(C24="T",VLOOKUP(D24,'Matrix 75 m'!$G$4:$H$7837,2,FALSE)))</f>
        <v>0</v>
      </c>
      <c r="F24" s="82" t="s">
        <v>59</v>
      </c>
      <c r="G24" s="82"/>
      <c r="H24" s="124" t="b">
        <f>IF(F24="S",VLOOKUP(G24,'Matrix 75 m'!$A$4:$B$7837,2,FALSE))</f>
        <v>0</v>
      </c>
      <c r="I24" s="82"/>
      <c r="J24" s="78" t="str">
        <f t="shared" si="1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75 m'!$D$4:$E$7837,2,FALSE),IF(C25="T",VLOOKUP(D25,'Matrix 75 m'!$G$4:$H$7837,2,FALSE)))</f>
        <v>0</v>
      </c>
      <c r="F25" s="82" t="s">
        <v>59</v>
      </c>
      <c r="G25" s="82"/>
      <c r="H25" s="124" t="b">
        <f>IF(F25="S",VLOOKUP(G25,'Matrix 75 m'!$A$4:$B$7837,2,FALSE))</f>
        <v>0</v>
      </c>
      <c r="I25" s="82"/>
      <c r="J25" s="78" t="str">
        <f t="shared" si="1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75 m'!$D$4:$E$7837,2,FALSE),IF(C26="T",VLOOKUP(D26,'Matrix 75 m'!$G$4:$H$7837,2,FALSE)))</f>
        <v>0</v>
      </c>
      <c r="F26" s="82" t="s">
        <v>59</v>
      </c>
      <c r="G26" s="82"/>
      <c r="H26" s="124" t="b">
        <f>IF(F26="S",VLOOKUP(G26,'Matrix 75 m'!$A$4:$B$7837,2,FALSE))</f>
        <v>0</v>
      </c>
      <c r="I26" s="82"/>
      <c r="J26" s="78" t="str">
        <f t="shared" si="1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75 m'!$D$4:$E$7837,2,FALSE),IF(C27="T",VLOOKUP(D27,'Matrix 75 m'!$G$4:$H$7837,2,FALSE)))</f>
        <v>0</v>
      </c>
      <c r="F27" s="82" t="s">
        <v>59</v>
      </c>
      <c r="G27" s="82"/>
      <c r="H27" s="124" t="b">
        <f>IF(F27="S",VLOOKUP(G27,'Matrix 75 m'!$A$4:$B$7837,2,FALSE))</f>
        <v>0</v>
      </c>
      <c r="I27" s="82"/>
      <c r="J27" s="78" t="str">
        <f t="shared" si="1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75 m'!$D$4:$E$7837,2,FALSE),IF(C28="T",VLOOKUP(D28,'Matrix 75 m'!$G$4:$H$7837,2,FALSE)))</f>
        <v>0</v>
      </c>
      <c r="F28" s="82" t="s">
        <v>59</v>
      </c>
      <c r="G28" s="82"/>
      <c r="H28" s="124" t="b">
        <f>IF(F28="S",VLOOKUP(G28,'Matrix 75 m'!$A$4:$B$7837,2,FALSE))</f>
        <v>0</v>
      </c>
      <c r="I28" s="82"/>
      <c r="J28" s="78" t="str">
        <f t="shared" si="1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75 m'!$D$4:$E$7837,2,FALSE),IF(C29="T",VLOOKUP(D29,'Matrix 75 m'!$G$4:$H$7837,2,FALSE)))</f>
        <v>0</v>
      </c>
      <c r="F29" s="82" t="s">
        <v>59</v>
      </c>
      <c r="G29" s="82"/>
      <c r="H29" s="124" t="b">
        <f>IF(F29="S",VLOOKUP(G29,'Matrix 75 m'!$A$4:$B$7837,2,FALSE))</f>
        <v>0</v>
      </c>
      <c r="I29" s="82"/>
      <c r="J29" s="78" t="str">
        <f t="shared" si="1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75 m'!$D$4:$E$7837,2,FALSE),IF(C30="T",VLOOKUP(D30,'Matrix 75 m'!$G$4:$H$7837,2,FALSE)))</f>
        <v>0</v>
      </c>
      <c r="F30" s="82" t="s">
        <v>59</v>
      </c>
      <c r="G30" s="82"/>
      <c r="H30" s="124" t="b">
        <f>IF(F30="S",VLOOKUP(G30,'Matrix 75 m'!$A$4:$B$7837,2,FALSE))</f>
        <v>0</v>
      </c>
      <c r="I30" s="82"/>
      <c r="J30" s="78" t="str">
        <f t="shared" si="1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75 m'!$D$4:$E$7837,2,FALSE),IF(C31="T",VLOOKUP(D31,'Matrix 75 m'!$G$4:$H$7837,2,FALSE)))</f>
        <v>0</v>
      </c>
      <c r="F31" s="82" t="s">
        <v>59</v>
      </c>
      <c r="G31" s="82"/>
      <c r="H31" s="124" t="b">
        <f>IF(F31="S",VLOOKUP(G31,'Matrix 75 m'!$A$4:$B$7837,2,FALSE))</f>
        <v>0</v>
      </c>
      <c r="I31" s="82"/>
      <c r="J31" s="78" t="str">
        <f t="shared" si="1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75 m'!$D$4:$E$7837,2,FALSE),IF(C32="T",VLOOKUP(D32,'Matrix 75 m'!$G$4:$H$7837,2,FALSE)))</f>
        <v>0</v>
      </c>
      <c r="F32" s="82" t="s">
        <v>59</v>
      </c>
      <c r="G32" s="82"/>
      <c r="H32" s="124" t="b">
        <f>IF(F32="S",VLOOKUP(G32,'Matrix 75 m'!$A$4:$B$7837,2,FALSE))</f>
        <v>0</v>
      </c>
      <c r="I32" s="82"/>
      <c r="J32" s="78" t="str">
        <f t="shared" si="1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75 m'!$D$4:$E$7837,2,FALSE),IF(C33="T",VLOOKUP(D33,'Matrix 75 m'!$G$4:$H$7837,2,FALSE)))</f>
        <v>0</v>
      </c>
      <c r="F33" s="82" t="s">
        <v>59</v>
      </c>
      <c r="G33" s="82"/>
      <c r="H33" s="124" t="b">
        <f>IF(F33="S",VLOOKUP(G33,'Matrix 75 m'!$A$4:$B$7837,2,FALSE))</f>
        <v>0</v>
      </c>
      <c r="I33" s="82"/>
      <c r="J33" s="78" t="str">
        <f t="shared" si="1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75 m'!$D$4:$E$7837,2,FALSE),IF(C34="T",VLOOKUP(D34,'Matrix 75 m'!$G$4:$H$7837,2,FALSE)))</f>
        <v>0</v>
      </c>
      <c r="F34" s="82" t="s">
        <v>59</v>
      </c>
      <c r="G34" s="82"/>
      <c r="H34" s="124" t="b">
        <f>IF(F34="S",VLOOKUP(G34,'Matrix 75 m'!$A$4:$B$7837,2,FALSE))</f>
        <v>0</v>
      </c>
      <c r="I34" s="82"/>
      <c r="J34" s="78" t="str">
        <f t="shared" si="1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sortState ref="A5:J10">
    <sortCondition descending="1" ref="J5:J10"/>
  </sortState>
  <mergeCells count="3">
    <mergeCell ref="L1:S1"/>
    <mergeCell ref="B2:D2"/>
    <mergeCell ref="A1:I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4" t="s">
        <v>17</v>
      </c>
      <c r="B1" s="325"/>
      <c r="C1" s="325"/>
      <c r="D1" s="325"/>
      <c r="E1" s="325"/>
      <c r="F1" s="325"/>
      <c r="G1" s="325"/>
      <c r="H1" s="325"/>
      <c r="I1" s="326"/>
      <c r="L1" s="317"/>
      <c r="M1" s="317"/>
      <c r="N1" s="317"/>
      <c r="O1" s="317"/>
      <c r="P1" s="317"/>
      <c r="Q1" s="317"/>
      <c r="R1" s="317"/>
      <c r="S1" s="317"/>
    </row>
    <row r="2" spans="1:20" ht="16.5" customHeight="1">
      <c r="A2" s="71"/>
      <c r="B2" s="323" t="s">
        <v>98</v>
      </c>
      <c r="C2" s="323"/>
      <c r="D2" s="323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24</v>
      </c>
      <c r="B5" s="129" t="str">
        <f>RYTTERDATA!B5</f>
        <v>Zeziliea Larsen</v>
      </c>
      <c r="C5" s="82" t="s">
        <v>59</v>
      </c>
      <c r="D5" s="131"/>
      <c r="E5" s="123" t="b">
        <f>IF(C5="G",VLOOKUP(D5,'Matrix 100 m'!$D$4:$E$7837,2,FALSE),IF(C5="T",VLOOKUP(D5,'Matrix 100 m'!$G$4:$H$7837,2,FALSE)))</f>
        <v>0</v>
      </c>
      <c r="F5" s="82" t="s">
        <v>59</v>
      </c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25</v>
      </c>
      <c r="B6" s="129" t="str">
        <f>RYTTERDATA!B6</f>
        <v>Julie Andrea Cheung</v>
      </c>
      <c r="C6" s="82" t="s">
        <v>59</v>
      </c>
      <c r="D6" s="79"/>
      <c r="E6" s="123" t="b">
        <f>IF(C6="G",VLOOKUP(D6,'Matrix 100 m'!$D$4:$E$7837,2,FALSE),IF(C6="T",VLOOKUP(D6,'Matrix 100 m'!$G$4:$H$7837,2,FALSE)))</f>
        <v>0</v>
      </c>
      <c r="F6" s="82" t="s">
        <v>59</v>
      </c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26</v>
      </c>
      <c r="B7" s="129" t="str">
        <f>RYTTERDATA!B7</f>
        <v>Kirstine Haugaard UDEBLEVET</v>
      </c>
      <c r="C7" s="82" t="s">
        <v>59</v>
      </c>
      <c r="D7" s="79"/>
      <c r="E7" s="123" t="b">
        <f>IF(C7="G",VLOOKUP(D7,'Matrix 100 m'!$D$4:$E$7837,2,FALSE),IF(C7="T",VLOOKUP(D7,'Matrix 100 m'!$G$4:$H$7837,2,FALSE)))</f>
        <v>0</v>
      </c>
      <c r="F7" s="82" t="s">
        <v>59</v>
      </c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Amanda Jarnsbøll UDEBLEVET</v>
      </c>
      <c r="C8" s="82" t="s">
        <v>59</v>
      </c>
      <c r="D8" s="79"/>
      <c r="E8" s="123" t="b">
        <f>IF(C8="G",VLOOKUP(D8,'Matrix 100 m'!$D$4:$E$7837,2,FALSE),IF(C8="T",VLOOKUP(D8,'Matrix 100 m'!$G$4:$H$7837,2,FALSE)))</f>
        <v>0</v>
      </c>
      <c r="F8" s="82" t="s">
        <v>59</v>
      </c>
      <c r="G8" s="81"/>
      <c r="H8" s="124" t="b">
        <f>IF(F8="S",VLOOKUP(G8,'Matrix 100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27</v>
      </c>
      <c r="B9" s="129" t="str">
        <f>RYTTERDATA!B9</f>
        <v>Pernille Skov Sørensen</v>
      </c>
      <c r="C9" s="82" t="s">
        <v>59</v>
      </c>
      <c r="D9" s="81"/>
      <c r="E9" s="123" t="b">
        <f>IF(C9="G",VLOOKUP(D9,'Matrix 100 m'!$D$4:$E$7837,2,FALSE),IF(C9="T",VLOOKUP(D9,'Matrix 100 m'!$G$4:$H$7837,2,FALSE)))</f>
        <v>0</v>
      </c>
      <c r="F9" s="82" t="s">
        <v>59</v>
      </c>
      <c r="G9" s="81"/>
      <c r="H9" s="124" t="b">
        <f>IF(F9="S",VLOOKUP(G9,'Matrix 100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28</v>
      </c>
      <c r="B10" s="129" t="str">
        <f>RYTTERDATA!B10</f>
        <v>Aliena Marie Damgaard Svendsen</v>
      </c>
      <c r="C10" s="82" t="s">
        <v>59</v>
      </c>
      <c r="D10" s="81"/>
      <c r="E10" s="123" t="b">
        <f>IF(C10="G",VLOOKUP(D10,'Matrix 100 m'!$D$4:$E$7837,2,FALSE),IF(C10="T",VLOOKUP(D10,'Matrix 100 m'!$G$4:$H$7837,2,FALSE)))</f>
        <v>0</v>
      </c>
      <c r="F10" s="82" t="s">
        <v>59</v>
      </c>
      <c r="G10" s="81"/>
      <c r="H10" s="124" t="b">
        <f>IF(F10="S",VLOOKUP(G10,'Matrix 100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51</v>
      </c>
      <c r="B11" s="129" t="str">
        <f>RYTTERDATA!B11</f>
        <v>Elisabeth Sørensen</v>
      </c>
      <c r="C11" s="82" t="s">
        <v>59</v>
      </c>
      <c r="D11" s="81"/>
      <c r="E11" s="123" t="b">
        <f>IF(C11="G",VLOOKUP(D11,'Matrix 100 m'!$D$4:$E$7837,2,FALSE),IF(C11="T",VLOOKUP(D11,'Matrix 100 m'!$G$4:$H$7837,2,FALSE)))</f>
        <v>0</v>
      </c>
      <c r="F11" s="82" t="s">
        <v>59</v>
      </c>
      <c r="G11" s="81"/>
      <c r="H11" s="124" t="b">
        <f>IF(F11="S",VLOOKUP(G11,'Matrix 100 m'!$A$4:$B$7837,2,FALSE))</f>
        <v>0</v>
      </c>
      <c r="I11" s="77"/>
      <c r="J11" s="78">
        <f t="shared" si="0"/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1"/>
      <c r="E12" s="123" t="b">
        <f>IF(C12="G",VLOOKUP(D12,'Matrix 100 m'!$D$4:$E$7837,2,FALSE),IF(C12="T",VLOOKUP(D12,'Matrix 100 m'!$G$4:$H$7837,2,FALSE)))</f>
        <v>0</v>
      </c>
      <c r="F12" s="82" t="s">
        <v>59</v>
      </c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0"/>
      <c r="E13" s="123" t="b">
        <f>IF(C13="G",VLOOKUP(D13,'Matrix 100 m'!$D$4:$E$7837,2,FALSE),IF(C13="T",VLOOKUP(D13,'Matrix 100 m'!$G$4:$H$7837,2,FALSE)))</f>
        <v>0</v>
      </c>
      <c r="F13" s="82" t="s">
        <v>59</v>
      </c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59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59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59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59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59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59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59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59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59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59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59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59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59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59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59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59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59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59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59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59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59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4" t="s">
        <v>17</v>
      </c>
      <c r="B1" s="325"/>
      <c r="C1" s="325"/>
      <c r="D1" s="325"/>
      <c r="E1" s="325"/>
      <c r="F1" s="325"/>
      <c r="G1" s="325"/>
      <c r="H1" s="325"/>
      <c r="I1" s="326"/>
      <c r="L1" s="317"/>
      <c r="M1" s="317"/>
      <c r="N1" s="317"/>
      <c r="O1" s="317"/>
      <c r="P1" s="317"/>
      <c r="Q1" s="317"/>
      <c r="R1" s="317"/>
      <c r="S1" s="317"/>
    </row>
    <row r="2" spans="1:20" ht="16.5" customHeight="1">
      <c r="A2" s="71"/>
      <c r="B2" s="323" t="s">
        <v>179</v>
      </c>
      <c r="C2" s="323"/>
      <c r="D2" s="323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99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24</v>
      </c>
      <c r="B5" s="129" t="str">
        <f>RYTTERDATA!B5</f>
        <v>Zeziliea Larsen</v>
      </c>
      <c r="C5" s="127" t="s">
        <v>59</v>
      </c>
      <c r="D5" s="131"/>
      <c r="E5" s="123" t="b">
        <f>IF(C5="G",VLOOKUP(D5,'Matrix 150 m'!$D$4:$E$7837,2,FALSE))</f>
        <v>0</v>
      </c>
      <c r="F5" s="82" t="s">
        <v>59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25</v>
      </c>
      <c r="B6" s="129" t="str">
        <f>RYTTERDATA!B6</f>
        <v>Julie Andrea Cheung</v>
      </c>
      <c r="C6" s="82" t="s">
        <v>59</v>
      </c>
      <c r="D6" s="79"/>
      <c r="E6" s="123" t="b">
        <f>IF(C6="G",VLOOKUP(D6,'Matrix 150 m'!$D$4:$E$7837,2,FALSE))</f>
        <v>0</v>
      </c>
      <c r="F6" s="82" t="s">
        <v>59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26</v>
      </c>
      <c r="B7" s="129" t="str">
        <f>RYTTERDATA!B7</f>
        <v>Kirstine Haugaard UDEBLEVET</v>
      </c>
      <c r="C7" s="82" t="s">
        <v>59</v>
      </c>
      <c r="D7" s="79"/>
      <c r="E7" s="123" t="b">
        <f>IF(C7="G",VLOOKUP(D7,'Matrix 150 m'!$D$4:$E$7837,2,FALSE))</f>
        <v>0</v>
      </c>
      <c r="F7" s="82" t="s">
        <v>59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Amanda Jarnsbøll UDEBLEVET</v>
      </c>
      <c r="C8" s="82" t="s">
        <v>59</v>
      </c>
      <c r="D8" s="79"/>
      <c r="E8" s="123" t="b">
        <f>IF(C8="G",VLOOKUP(D8,'Matrix 150 m'!$D$4:$E$7837,2,FALSE))</f>
        <v>0</v>
      </c>
      <c r="F8" s="82" t="s">
        <v>59</v>
      </c>
      <c r="G8" s="81"/>
      <c r="H8" s="124" t="b">
        <f>IF(F8="S",VLOOKUP(G8,'Matrix 150 m'!$A$4:$B$10398,2,FALSE))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27</v>
      </c>
      <c r="B9" s="129" t="str">
        <f>RYTTERDATA!B9</f>
        <v>Pernille Skov Sørensen</v>
      </c>
      <c r="C9" s="82" t="s">
        <v>59</v>
      </c>
      <c r="D9" s="80"/>
      <c r="E9" s="123" t="b">
        <f>IF(C9="G",VLOOKUP(D9,'Matrix 150 m'!$D$4:$E$7837,2,FALSE))</f>
        <v>0</v>
      </c>
      <c r="F9" s="82" t="s">
        <v>59</v>
      </c>
      <c r="G9" s="80"/>
      <c r="H9" s="124" t="b">
        <f>IF(F9="S",VLOOKUP(G9,'Matrix 150 m'!$A$4:$B$10398,2,FALSE))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28</v>
      </c>
      <c r="B10" s="129" t="str">
        <f>RYTTERDATA!B10</f>
        <v>Aliena Marie Damgaard Svendsen</v>
      </c>
      <c r="C10" s="82" t="s">
        <v>59</v>
      </c>
      <c r="D10" s="80"/>
      <c r="E10" s="123" t="b">
        <f>IF(C10="G",VLOOKUP(D10,'Matrix 150 m'!$D$4:$E$7837,2,FALSE))</f>
        <v>0</v>
      </c>
      <c r="F10" s="82" t="s">
        <v>59</v>
      </c>
      <c r="G10" s="80"/>
      <c r="H10" s="124" t="b">
        <f>IF(F10="S",VLOOKUP(G10,'Matrix 150 m'!$A$4:$B$10398,2,FALSE))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51</v>
      </c>
      <c r="B11" s="129" t="str">
        <f>RYTTERDATA!B11</f>
        <v>Elisabeth Sørensen</v>
      </c>
      <c r="C11" s="82" t="s">
        <v>59</v>
      </c>
      <c r="D11" s="80"/>
      <c r="E11" s="123" t="b">
        <f>IF(C11="G",VLOOKUP(D11,'Matrix 150 m'!$D$4:$E$7837,2,FALSE))</f>
        <v>0</v>
      </c>
      <c r="F11" s="82" t="s">
        <v>59</v>
      </c>
      <c r="G11" s="80"/>
      <c r="H11" s="124" t="b">
        <f>IF(F11="S",VLOOKUP(G11,'Matrix 150 m'!$A$4:$B$10398,2,FALSE))</f>
        <v>0</v>
      </c>
      <c r="I11" s="77"/>
      <c r="J11" s="78">
        <f t="shared" si="0"/>
        <v>0</v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0"/>
      <c r="E12" s="123" t="b">
        <f>IF(C12="G",VLOOKUP(D12,'Matrix 150 m'!$D$4:$E$7837,2,FALSE))</f>
        <v>0</v>
      </c>
      <c r="F12" s="82" t="s">
        <v>59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0"/>
      <c r="E13" s="123" t="b">
        <f>IF(C13="G",VLOOKUP(D13,'Matrix 150 m'!$D$4:$E$7837,2,FALSE))</f>
        <v>0</v>
      </c>
      <c r="F13" s="82" t="s">
        <v>59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0"/>
      <c r="E14" s="123" t="b">
        <f>IF(C14="G",VLOOKUP(D14,'Matrix 150 m'!$D$4:$E$7837,2,FALSE))</f>
        <v>0</v>
      </c>
      <c r="F14" s="82" t="s">
        <v>59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0"/>
      <c r="E15" s="123" t="b">
        <f>IF(C15="G",VLOOKUP(D15,'Matrix 150 m'!$D$4:$E$7837,2,FALSE))</f>
        <v>0</v>
      </c>
      <c r="F15" s="82" t="s">
        <v>59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0"/>
      <c r="E16" s="123" t="b">
        <f>IF(C16="G",VLOOKUP(D16,'Matrix 150 m'!$D$4:$E$7837,2,FALSE))</f>
        <v>0</v>
      </c>
      <c r="F16" s="82" t="s">
        <v>59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0"/>
      <c r="E17" s="123" t="b">
        <f>IF(C17="G",VLOOKUP(D17,'Matrix 150 m'!$D$4:$E$7837,2,FALSE))</f>
        <v>0</v>
      </c>
      <c r="F17" s="82" t="s">
        <v>59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0"/>
      <c r="E18" s="123" t="b">
        <f>IF(C18="G",VLOOKUP(D18,'Matrix 150 m'!$D$4:$E$7837,2,FALSE))</f>
        <v>0</v>
      </c>
      <c r="F18" s="82" t="s">
        <v>59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150 m'!$D$4:$E$7837,2,FALSE))</f>
        <v>0</v>
      </c>
      <c r="F19" s="82" t="s">
        <v>59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0"/>
      <c r="E20" s="123" t="b">
        <f>IF(C20="G",VLOOKUP(D20,'Matrix 150 m'!$D$4:$E$7837,2,FALSE))</f>
        <v>0</v>
      </c>
      <c r="F20" s="82" t="s">
        <v>59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0"/>
      <c r="E21" s="123" t="b">
        <f>IF(C21="G",VLOOKUP(D21,'Matrix 150 m'!$D$4:$E$7837,2,FALSE))</f>
        <v>0</v>
      </c>
      <c r="F21" s="82" t="s">
        <v>59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150 m'!$D$4:$E$7837,2,FALSE))</f>
        <v>0</v>
      </c>
      <c r="F22" s="82" t="s">
        <v>59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82"/>
      <c r="E23" s="123" t="b">
        <f>IF(C23="G",VLOOKUP(D23,'Matrix 150 m'!$D$4:$E$7837,2,FALSE))</f>
        <v>0</v>
      </c>
      <c r="F23" s="82" t="s">
        <v>59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150 m'!$D$4:$E$7837,2,FALSE))</f>
        <v>0</v>
      </c>
      <c r="F24" s="82" t="s">
        <v>59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150 m'!$D$4:$E$7837,2,FALSE))</f>
        <v>0</v>
      </c>
      <c r="F25" s="82" t="s">
        <v>59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150 m'!$D$4:$E$7837,2,FALSE))</f>
        <v>0</v>
      </c>
      <c r="F26" s="82" t="s">
        <v>59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150 m'!$D$4:$E$7837,2,FALSE))</f>
        <v>0</v>
      </c>
      <c r="F27" s="82" t="s">
        <v>59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150 m'!$D$4:$E$7837,2,FALSE))</f>
        <v>0</v>
      </c>
      <c r="F28" s="82" t="s">
        <v>59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150 m'!$D$4:$E$7837,2,FALSE))</f>
        <v>0</v>
      </c>
      <c r="F29" s="82" t="s">
        <v>59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150 m'!$D$4:$E$7837,2,FALSE))</f>
        <v>0</v>
      </c>
      <c r="F30" s="82" t="s">
        <v>59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150 m'!$D$4:$E$7837,2,FALSE))</f>
        <v>0</v>
      </c>
      <c r="F31" s="82" t="s">
        <v>59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150 m'!$D$4:$E$7837,2,FALSE))</f>
        <v>0</v>
      </c>
      <c r="F32" s="82" t="s">
        <v>59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150 m'!$D$4:$E$7837,2,FALSE))</f>
        <v>0</v>
      </c>
      <c r="F33" s="82" t="s">
        <v>59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150 m'!$D$4:$E$7837,2,FALSE))</f>
        <v>0</v>
      </c>
      <c r="F34" s="82" t="s">
        <v>59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N36"/>
  <sheetViews>
    <sheetView tabSelected="1" zoomScale="115" zoomScaleNormal="115" workbookViewId="0">
      <selection activeCell="N8" sqref="N8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hidden="1" customWidth="1"/>
    <col min="7" max="7" width="10" style="233" customWidth="1"/>
    <col min="8" max="8" width="8.5703125" style="233" hidden="1" customWidth="1"/>
    <col min="9" max="9" width="10.140625" style="233" hidden="1" customWidth="1"/>
    <col min="10" max="10" width="7.28515625" style="233" hidden="1" customWidth="1"/>
    <col min="11" max="11" width="7.140625" style="233" hidden="1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4" ht="15" customHeight="1">
      <c r="A1" s="327" t="s">
        <v>209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262"/>
      <c r="N1" s="262"/>
    </row>
    <row r="2" spans="1:14" ht="15" customHeight="1">
      <c r="A2" s="327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262"/>
      <c r="N2" s="262"/>
    </row>
    <row r="3" spans="1:14">
      <c r="B3" s="233" t="s">
        <v>177</v>
      </c>
      <c r="E3" s="269">
        <f>SUM(E5:E34)-(SUM('POR hele udreg.'!M5:M34))</f>
        <v>-935</v>
      </c>
      <c r="F3" s="269">
        <f>SUM(F5:F34)-SUM('MA udregning 75 m'!J5:J34)-SUM('MA udregning 100 m'!J5:J34)-SUM('MA udregning 150 m'!J5:J34)</f>
        <v>0</v>
      </c>
      <c r="G3" s="269">
        <f>SUM(G5:G34)-SUM('PTV Udreg.'!AE8:AE37)</f>
        <v>0</v>
      </c>
      <c r="H3" s="269">
        <f>SUM(H5:H34)-SUM(E5:G34)</f>
        <v>0</v>
      </c>
      <c r="J3" s="270"/>
      <c r="K3" s="270"/>
      <c r="L3" s="270"/>
      <c r="M3" s="87"/>
      <c r="N3" s="87"/>
    </row>
    <row r="4" spans="1:14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1" t="s">
        <v>27</v>
      </c>
      <c r="F4" s="272" t="s">
        <v>17</v>
      </c>
      <c r="G4" s="273" t="s">
        <v>104</v>
      </c>
      <c r="H4" s="274" t="s">
        <v>15</v>
      </c>
      <c r="I4" s="88" t="s">
        <v>105</v>
      </c>
      <c r="J4" s="88" t="s">
        <v>48</v>
      </c>
      <c r="K4" s="88" t="s">
        <v>168</v>
      </c>
      <c r="L4" s="293" t="s">
        <v>192</v>
      </c>
      <c r="M4" s="87"/>
      <c r="N4" s="263"/>
    </row>
    <row r="5" spans="1:14">
      <c r="A5" s="85">
        <f>VLOOKUP(RYTTERDATA!A5,RYTTERDATA!A5,1,FALSE)</f>
        <v>24</v>
      </c>
      <c r="B5" s="275" t="str">
        <f>VLOOKUP(A5,RYTTERDATA!$A$5:$B$34,2,FALSE)</f>
        <v>Zeziliea Larsen</v>
      </c>
      <c r="C5" s="275" t="str">
        <f>VLOOKUP(A5,RYTTERDATA!$A$5:$C$34,3,FALSE)</f>
        <v>Basse</v>
      </c>
      <c r="D5" s="85" t="str">
        <f>VLOOKUP(A5,RYTTERDATA!$A$5:$D$34,4,FALSE)</f>
        <v>KLIK</v>
      </c>
      <c r="E5" s="276">
        <v>0</v>
      </c>
      <c r="F5" s="277">
        <v>0</v>
      </c>
      <c r="G5" s="278">
        <f>IF(B5&lt;&gt;0,(VLOOKUP(A5,'PTV Udreg.'!$J$8:$AG$37,22,FALSE)),"")</f>
        <v>78</v>
      </c>
      <c r="H5" s="279">
        <f t="shared" ref="H5:H10" si="0">IF(B5&lt;&gt;0,(SUM(E5:G5)),"")</f>
        <v>78</v>
      </c>
      <c r="I5" s="280">
        <f t="shared" ref="I5:I9" si="1">IF(B5&lt;&gt;0,RANK(E5,$E$5:$E$34),"")</f>
        <v>1</v>
      </c>
      <c r="J5" s="280">
        <f>IF(B5&lt;&gt;0,RANK(F5,F$5:F$34),"")</f>
        <v>1</v>
      </c>
      <c r="K5" s="280">
        <f>IF(B5&lt;&gt;0,RANK(G5,G$5:G$34),"")</f>
        <v>2</v>
      </c>
      <c r="L5" s="280">
        <f>IF(B5&lt;&gt;0,RANK(H5,H$5:H$34),"")</f>
        <v>2</v>
      </c>
      <c r="M5" s="264"/>
      <c r="N5" s="265"/>
    </row>
    <row r="6" spans="1:14">
      <c r="A6" s="85">
        <f>VLOOKUP(RYTTERDATA!A6,RYTTERDATA!A6,1,FALSE)</f>
        <v>25</v>
      </c>
      <c r="B6" s="275" t="str">
        <f>VLOOKUP(A6,RYTTERDATA!$A$5:$B$34,2,FALSE)</f>
        <v>Julie Andrea Cheung</v>
      </c>
      <c r="C6" s="275" t="str">
        <f>VLOOKUP(A6,RYTTERDATA!$A$5:$C$34,3,FALSE)</f>
        <v>Rubina fra Nord</v>
      </c>
      <c r="D6" s="85" t="str">
        <f>VLOOKUP(A6,RYTTERDATA!$A$5:$D$34,4,FALSE)</f>
        <v>FRKS</v>
      </c>
      <c r="E6" s="276">
        <v>0</v>
      </c>
      <c r="F6" s="277">
        <v>0</v>
      </c>
      <c r="G6" s="278">
        <f>IF(B6&lt;&gt;0,(VLOOKUP(A6,'PTV Udreg.'!$J$8:$AG$37,22,FALSE)),"")</f>
        <v>68</v>
      </c>
      <c r="H6" s="279">
        <f t="shared" si="0"/>
        <v>68</v>
      </c>
      <c r="I6" s="280">
        <f t="shared" si="1"/>
        <v>1</v>
      </c>
      <c r="J6" s="280">
        <f t="shared" ref="J6:J34" si="2">IF(B6&lt;&gt;0,RANK(F6,F$5:F$34),"")</f>
        <v>1</v>
      </c>
      <c r="K6" s="280">
        <f t="shared" ref="K6:K34" si="3">IF(B6&lt;&gt;0,RANK(G6,G$5:G$34),"")</f>
        <v>4</v>
      </c>
      <c r="L6" s="280">
        <f t="shared" ref="L6:L34" si="4">IF(B6&lt;&gt;0,RANK(H6,H$5:H$34),"")</f>
        <v>4</v>
      </c>
      <c r="M6" s="266"/>
      <c r="N6" s="267"/>
    </row>
    <row r="7" spans="1:14">
      <c r="A7" s="85">
        <f>VLOOKUP(RYTTERDATA!A7,RYTTERDATA!A7,1,FALSE)</f>
        <v>26</v>
      </c>
      <c r="B7" s="275" t="str">
        <f>VLOOKUP(A7,RYTTERDATA!$A$5:$B$34,2,FALSE)</f>
        <v>Kirstine Haugaard UDEBLEVET</v>
      </c>
      <c r="C7" s="275" t="str">
        <f>VLOOKUP(A7,RYTTERDATA!$A$5:$C$34,3,FALSE)</f>
        <v>Danbars Legacy DK</v>
      </c>
      <c r="D7" s="85" t="str">
        <f>VLOOKUP(A7,RYTTERDATA!$A$5:$D$34,4,FALSE)</f>
        <v>SLS</v>
      </c>
      <c r="E7" s="276">
        <v>0</v>
      </c>
      <c r="F7" s="277">
        <v>0</v>
      </c>
      <c r="G7" s="278">
        <f>IF(B7&lt;&gt;0,(VLOOKUP(A7,'PTV Udreg.'!$J$8:$AG$37,22,FALSE)),"")</f>
        <v>0</v>
      </c>
      <c r="H7" s="279">
        <f t="shared" si="0"/>
        <v>0</v>
      </c>
      <c r="I7" s="280">
        <f t="shared" si="1"/>
        <v>1</v>
      </c>
      <c r="J7" s="280">
        <f t="shared" si="2"/>
        <v>1</v>
      </c>
      <c r="K7" s="280">
        <f t="shared" si="3"/>
        <v>6</v>
      </c>
      <c r="L7" s="280">
        <f t="shared" si="4"/>
        <v>6</v>
      </c>
      <c r="M7" s="266"/>
      <c r="N7" s="267"/>
    </row>
    <row r="8" spans="1:14">
      <c r="A8" s="85">
        <f>VLOOKUP(RYTTERDATA!A8,RYTTERDATA!A8,1,FALSE)</f>
        <v>22</v>
      </c>
      <c r="B8" s="275" t="str">
        <f>VLOOKUP(A8,RYTTERDATA!$A$5:$B$34,2,FALSE)</f>
        <v>Amanda Jarnsbøll UDEBLEVET</v>
      </c>
      <c r="C8" s="275" t="str">
        <f>VLOOKUP(A8,RYTTERDATA!$A$5:$C$34,3,FALSE)</f>
        <v>Nicon</v>
      </c>
      <c r="D8" s="85" t="str">
        <f>VLOOKUP(A8,RYTTERDATA!$A$5:$D$34,4,FALSE)</f>
        <v>KLIK</v>
      </c>
      <c r="E8" s="276">
        <v>0</v>
      </c>
      <c r="F8" s="277">
        <v>0</v>
      </c>
      <c r="G8" s="278">
        <f>IF(B8&lt;&gt;0,(VLOOKUP(A8,'PTV Udreg.'!$J$8:$AG$37,22,FALSE)),"")</f>
        <v>0</v>
      </c>
      <c r="H8" s="279">
        <f t="shared" si="0"/>
        <v>0</v>
      </c>
      <c r="I8" s="280">
        <f t="shared" si="1"/>
        <v>1</v>
      </c>
      <c r="J8" s="280">
        <f t="shared" si="2"/>
        <v>1</v>
      </c>
      <c r="K8" s="280">
        <f t="shared" si="3"/>
        <v>6</v>
      </c>
      <c r="L8" s="280">
        <f t="shared" si="4"/>
        <v>6</v>
      </c>
      <c r="M8" s="266"/>
      <c r="N8" s="267"/>
    </row>
    <row r="9" spans="1:14">
      <c r="A9" s="85">
        <f>VLOOKUP(RYTTERDATA!A9,RYTTERDATA!A9,1,FALSE)</f>
        <v>27</v>
      </c>
      <c r="B9" s="275" t="str">
        <f>VLOOKUP(A9,RYTTERDATA!$A$5:$B$34,2,FALSE)</f>
        <v>Pernille Skov Sørensen</v>
      </c>
      <c r="C9" s="275" t="str">
        <f>VLOOKUP(A9,RYTTERDATA!$A$5:$C$34,3,FALSE)</f>
        <v>Tarok Bjerget</v>
      </c>
      <c r="D9" s="85" t="str">
        <f>VLOOKUP(A9,RYTTERDATA!$A$5:$D$34,4,FALSE)</f>
        <v>VASK</v>
      </c>
      <c r="E9" s="276">
        <v>0</v>
      </c>
      <c r="F9" s="277">
        <v>0</v>
      </c>
      <c r="G9" s="278">
        <f>IF(B9&lt;&gt;0,(VLOOKUP(A9,'PTV Udreg.'!$J$8:$AG$37,22,FALSE)),"")</f>
        <v>53</v>
      </c>
      <c r="H9" s="279">
        <f t="shared" si="0"/>
        <v>53</v>
      </c>
      <c r="I9" s="280">
        <f t="shared" si="1"/>
        <v>1</v>
      </c>
      <c r="J9" s="280">
        <f t="shared" si="2"/>
        <v>1</v>
      </c>
      <c r="K9" s="280">
        <f t="shared" si="3"/>
        <v>5</v>
      </c>
      <c r="L9" s="280">
        <f t="shared" si="4"/>
        <v>5</v>
      </c>
      <c r="M9" s="266"/>
      <c r="N9" s="267"/>
    </row>
    <row r="10" spans="1:14" ht="25.5">
      <c r="A10" s="85">
        <f>VLOOKUP(RYTTERDATA!A10,RYTTERDATA!A10,1,FALSE)</f>
        <v>28</v>
      </c>
      <c r="B10" s="275" t="str">
        <f>VLOOKUP(A10,RYTTERDATA!$A$5:$B$34,2,FALSE)</f>
        <v>Aliena Marie Damgaard Svendsen</v>
      </c>
      <c r="C10" s="275" t="str">
        <f>VLOOKUP(A10,RYTTERDATA!$A$5:$C$34,3,FALSE)</f>
        <v>Quattro's Kidoko Star</v>
      </c>
      <c r="D10" s="85" t="str">
        <f>VLOOKUP(A10,RYTTERDATA!$A$5:$D$34,4,FALSE)</f>
        <v>LFHR</v>
      </c>
      <c r="E10" s="276">
        <v>0</v>
      </c>
      <c r="F10" s="277">
        <f>IF(B10&lt;&gt;0,(VLOOKUP(A10,'MA udregning 75 m'!$A$4:$J$34,10,FALSE)+VLOOKUP(A10,'MA udregning 100 m'!$A$4:$J$34,10,FALSE)+VLOOKUP(A10,'MA udregning 150 m'!$A$5:$J$34,10,FALSE)),"")</f>
        <v>0</v>
      </c>
      <c r="G10" s="278">
        <f>IF(B10&lt;&gt;0,(VLOOKUP(A10,'PTV Udreg.'!$J$8:$AG$37,22,FALSE)),"")</f>
        <v>79</v>
      </c>
      <c r="H10" s="279">
        <f t="shared" si="0"/>
        <v>79</v>
      </c>
      <c r="I10" s="280">
        <f>IF(B10&lt;&gt;0,RANK(E10,$E$5:$E$34),"")</f>
        <v>1</v>
      </c>
      <c r="J10" s="280">
        <f t="shared" si="2"/>
        <v>1</v>
      </c>
      <c r="K10" s="280">
        <f t="shared" si="3"/>
        <v>1</v>
      </c>
      <c r="L10" s="280">
        <f t="shared" si="4"/>
        <v>1</v>
      </c>
      <c r="M10" s="264"/>
      <c r="N10" s="267"/>
    </row>
    <row r="11" spans="1:14">
      <c r="A11" s="85">
        <f>VLOOKUP(RYTTERDATA!A11,RYTTERDATA!A11,1,FALSE)</f>
        <v>51</v>
      </c>
      <c r="B11" s="275" t="str">
        <f>VLOOKUP(A11,RYTTERDATA!$A$5:$B$34,2,FALSE)</f>
        <v>Elisabeth Sørensen</v>
      </c>
      <c r="C11" s="275" t="str">
        <f>VLOOKUP(A11,RYTTERDATA!$A$5:$C$34,3,FALSE)</f>
        <v>Jeppe</v>
      </c>
      <c r="D11" s="85" t="str">
        <f>VLOOKUP(A11,RYTTERDATA!$A$5:$D$34,4,FALSE)</f>
        <v>SØK</v>
      </c>
      <c r="E11" s="276">
        <v>0</v>
      </c>
      <c r="F11" s="277">
        <f>IF(B11&lt;&gt;0,(VLOOKUP(A11,'MA udregning 75 m'!$A$4:$J$34,10,FALSE)+VLOOKUP(A11,'MA udregning 100 m'!$A$4:$J$34,10,FALSE)+VLOOKUP(A11,'MA udregning 150 m'!$A$5:$J$34,10,FALSE)),"")</f>
        <v>0</v>
      </c>
      <c r="G11" s="278">
        <f>IF(B11&lt;&gt;0,(VLOOKUP(A11,'PTV Udreg.'!$J$8:$AG$37,22,FALSE)),"")</f>
        <v>73</v>
      </c>
      <c r="H11" s="279">
        <f t="shared" ref="H11:H34" si="5">IF(B11&lt;&gt;0,(SUM(E11:G11)),"")</f>
        <v>73</v>
      </c>
      <c r="I11" s="280">
        <f t="shared" ref="I11:I34" si="6">IF(B11&lt;&gt;0,RANK(E11,$E$5:$E$34),"")</f>
        <v>1</v>
      </c>
      <c r="J11" s="280">
        <f t="shared" si="2"/>
        <v>1</v>
      </c>
      <c r="K11" s="280">
        <f t="shared" si="3"/>
        <v>3</v>
      </c>
      <c r="L11" s="280">
        <f t="shared" si="4"/>
        <v>3</v>
      </c>
      <c r="M11" s="266"/>
    </row>
    <row r="12" spans="1:14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m'!$A$4:$J$34,10,FALSE)+VLOOKUP(A12,'MA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6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4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m'!$A$4:$J$34,10,FALSE)+VLOOKUP(A13,'MA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6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4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m'!$A$4:$J$34,10,FALSE)+VLOOKUP(A14,'MA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6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4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m'!$A$4:$J$34,10,FALSE)+VLOOKUP(A15,'MA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6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4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m'!$A$4:$J$34,10,FALSE)+VLOOKUP(A16,'MA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6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m'!$A$4:$J$34,10,FALSE)+VLOOKUP(A17,'MA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6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m'!$A$4:$J$34,10,FALSE)+VLOOKUP(A18,'MA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6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m'!$A$4:$J$34,10,FALSE)+VLOOKUP(A19,'MA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6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m'!$A$4:$J$34,10,FALSE)+VLOOKUP(A20,'MA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6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m'!$A$4:$J$34,10,FALSE)+VLOOKUP(A21,'MA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6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m'!$A$4:$J$34,10,FALSE)+VLOOKUP(A22,'MA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6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m'!$A$4:$J$34,10,FALSE)+VLOOKUP(A23,'MA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6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8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m'!$A$4:$J$34,10,FALSE)+VLOOKUP(A24,'MA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6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8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m'!$A$4:$J$34,10,FALSE)+VLOOKUP(A25,'MA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6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8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m'!$A$4:$J$34,10,FALSE)+VLOOKUP(A26,'MA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6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8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m'!$A$4:$J$34,10,FALSE)+VLOOKUP(A27,'MA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6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8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m'!$A$4:$J$34,10,FALSE)+VLOOKUP(A28,'MA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6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m'!$A$4:$J$34,10,FALSE)+VLOOKUP(A29,'MA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6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m'!$A$4:$J$34,10,FALSE)+VLOOKUP(A30,'MA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6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m'!$A$4:$J$34,10,FALSE)+VLOOKUP(A31,'MA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6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m'!$A$4:$J$34,10,FALSE)+VLOOKUP(A32,'MA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6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m'!$A$4:$J$34,10,FALSE)+VLOOKUP(A33,'MA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6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m'!$A$4:$J$34,10,FALSE)+VLOOKUP(A34,'MA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6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1">
    <mergeCell ref="A1:L2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011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50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7837"/>
  <sheetViews>
    <sheetView workbookViewId="0">
      <selection activeCell="A4" sqref="A4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57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56</v>
      </c>
    </row>
    <row r="2" spans="1:5">
      <c r="A2" s="119" t="s">
        <v>51</v>
      </c>
      <c r="D2" s="83" t="s">
        <v>52</v>
      </c>
    </row>
    <row r="3" spans="1:5">
      <c r="A3" s="120" t="s">
        <v>54</v>
      </c>
      <c r="B3" s="121" t="s">
        <v>55</v>
      </c>
      <c r="D3" s="120" t="s">
        <v>54</v>
      </c>
      <c r="E3" s="121" t="s">
        <v>55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0" t="s">
        <v>180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35</v>
      </c>
      <c r="C9" s="170" t="s">
        <v>80</v>
      </c>
      <c r="D9" s="160"/>
      <c r="E9" s="170" t="s">
        <v>81</v>
      </c>
      <c r="F9" s="160"/>
      <c r="H9" s="95"/>
      <c r="I9" s="298" t="s">
        <v>82</v>
      </c>
      <c r="J9" s="299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24</v>
      </c>
      <c r="B11" s="214" t="str">
        <f>VLOOKUP(A11,RYTTERDATA!$A$5:$B$34,2,FALSE)</f>
        <v>Zeziliea Larsen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25</v>
      </c>
      <c r="B12" s="214" t="str">
        <f>VLOOKUP(A12,RYTTERDATA!$A$5:$B$34,2,FALSE)</f>
        <v>Julie Andrea Cheung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26</v>
      </c>
      <c r="B13" s="214" t="str">
        <f>VLOOKUP(A13,RYTTERDATA!$A$5:$B$34,2,FALSE)</f>
        <v>Kirstine Haugaard UDEBLEVET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UDEBLEVET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27</v>
      </c>
      <c r="B15" s="214" t="str">
        <f>VLOOKUP(A15,RYTTERDATA!$A$5:$B$34,2,FALSE)</f>
        <v>Pernille Skov Sørensen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28</v>
      </c>
      <c r="B16" s="214" t="str">
        <f>VLOOKUP(A16,RYTTERDATA!$A$5:$B$34,2,FALSE)</f>
        <v>Aliena Marie Damgaard Svendsen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51</v>
      </c>
      <c r="B17" s="214" t="str">
        <f>VLOOKUP(A17,RYTTERDATA!$A$5:$B$34,2,FALSE)</f>
        <v>Elisabeth Sørensen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107</v>
      </c>
    </row>
    <row r="4" spans="1:1">
      <c r="A4" t="s">
        <v>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19" sqref="M19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0" t="s">
        <v>181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35</v>
      </c>
      <c r="C9" s="170" t="s">
        <v>81</v>
      </c>
      <c r="D9" s="173"/>
      <c r="E9" s="170" t="s">
        <v>83</v>
      </c>
      <c r="F9" s="140"/>
      <c r="H9" s="95"/>
      <c r="I9" s="298" t="s">
        <v>82</v>
      </c>
      <c r="J9" s="299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24</v>
      </c>
      <c r="B11" s="214" t="str">
        <f>VLOOKUP(A11,RYTTERDATA!$A$5:$B$34,2,FALSE)</f>
        <v>Zeziliea Larsen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25</v>
      </c>
      <c r="B12" s="214" t="str">
        <f>VLOOKUP(A12,RYTTERDATA!$A$5:$B$34,2,FALSE)</f>
        <v>Julie Andrea Cheung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26</v>
      </c>
      <c r="B13" s="214" t="str">
        <f>VLOOKUP(A13,RYTTERDATA!$A$5:$B$34,2,FALSE)</f>
        <v>Kirstine Haugaard UDEBLEVET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UDEBLEVET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27</v>
      </c>
      <c r="B15" s="214" t="str">
        <f>VLOOKUP(A15,RYTTERDATA!$A$5:$B$34,2,FALSE)</f>
        <v>Pernille Skov Sørensen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28</v>
      </c>
      <c r="B16" s="214" t="str">
        <f>VLOOKUP(A16,RYTTERDATA!$A$5:$B$34,2,FALSE)</f>
        <v>Aliena Marie Damgaard Svendsen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51</v>
      </c>
      <c r="B17" s="214" t="str">
        <f>VLOOKUP(A17,RYTTERDATA!$A$5:$B$34,2,FALSE)</f>
        <v>Elisabeth Sørensen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0" t="s">
        <v>182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35</v>
      </c>
      <c r="C9" s="172" t="s">
        <v>83</v>
      </c>
      <c r="D9" s="160"/>
      <c r="E9" s="172" t="s">
        <v>84</v>
      </c>
      <c r="F9" s="140"/>
      <c r="H9" s="95"/>
      <c r="I9" s="298" t="s">
        <v>82</v>
      </c>
      <c r="J9" s="299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24</v>
      </c>
      <c r="B11" s="214" t="str">
        <f>VLOOKUP(A11,RYTTERDATA!$A$5:$B$34,2,FALSE)</f>
        <v>Zeziliea Larsen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25</v>
      </c>
      <c r="B12" s="214" t="str">
        <f>VLOOKUP(A12,RYTTERDATA!$A$5:$B$34,2,FALSE)</f>
        <v>Julie Andrea Cheung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26</v>
      </c>
      <c r="B13" s="214" t="str">
        <f>VLOOKUP(A13,RYTTERDATA!$A$5:$B$34,2,FALSE)</f>
        <v>Kirstine Haugaard UDEBLEVET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UDEBLEVET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27</v>
      </c>
      <c r="B15" s="214" t="str">
        <f>VLOOKUP(A15,RYTTERDATA!$A$5:$B$34,2,FALSE)</f>
        <v>Pernille Skov Sørensen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28</v>
      </c>
      <c r="B16" s="214" t="str">
        <f>VLOOKUP(A16,RYTTERDATA!$A$5:$B$34,2,FALSE)</f>
        <v>Aliena Marie Damgaard Svendsen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51</v>
      </c>
      <c r="B17" s="214" t="str">
        <f>VLOOKUP(A17,RYTTERDATA!$A$5:$B$34,2,FALSE)</f>
        <v>Elisabeth Sørensen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M18" sqref="M1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42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35</v>
      </c>
      <c r="C9" s="170" t="s">
        <v>84</v>
      </c>
      <c r="D9" s="160"/>
      <c r="E9" s="170" t="s">
        <v>85</v>
      </c>
      <c r="F9" s="95"/>
      <c r="H9" s="95"/>
      <c r="I9" s="298" t="s">
        <v>82</v>
      </c>
      <c r="J9" s="299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24</v>
      </c>
      <c r="B11" s="214" t="str">
        <f>VLOOKUP(A11,RYTTERDATA!$A$5:$B$34,2,FALSE)</f>
        <v>Zeziliea Larsen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25</v>
      </c>
      <c r="B12" s="214" t="str">
        <f>VLOOKUP(A12,RYTTERDATA!$A$5:$B$34,2,FALSE)</f>
        <v>Julie Andrea Cheung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26</v>
      </c>
      <c r="B13" s="214" t="str">
        <f>VLOOKUP(A13,RYTTERDATA!$A$5:$B$34,2,FALSE)</f>
        <v>Kirstine Haugaard UDEBLEVET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UDEBLEVET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27</v>
      </c>
      <c r="B15" s="214" t="str">
        <f>VLOOKUP(A15,RYTTERDATA!$A$5:$B$34,2,FALSE)</f>
        <v>Pernille Skov Sørensen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28</v>
      </c>
      <c r="B16" s="214" t="str">
        <f>VLOOKUP(A16,RYTTERDATA!$A$5:$B$34,2,FALSE)</f>
        <v>Aliena Marie Damgaard Svendsen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51</v>
      </c>
      <c r="B17" s="214" t="str">
        <f>VLOOKUP(A17,RYTTERDATA!$A$5:$B$34,2,FALSE)</f>
        <v>Elisabeth Sørensen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70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35</v>
      </c>
      <c r="C9" s="170" t="s">
        <v>85</v>
      </c>
      <c r="D9" s="160"/>
      <c r="E9" s="170" t="s">
        <v>59</v>
      </c>
      <c r="F9" s="95"/>
      <c r="H9" s="95"/>
      <c r="I9" s="298" t="s">
        <v>82</v>
      </c>
      <c r="J9" s="299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24</v>
      </c>
      <c r="B11" s="214" t="str">
        <f>VLOOKUP(A11,RYTTERDATA!$A$5:$B$34,2,FALSE)</f>
        <v>Zeziliea Larsen</v>
      </c>
      <c r="C11" s="97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25</v>
      </c>
      <c r="B12" s="214" t="str">
        <f>VLOOKUP(A12,RYTTERDATA!$A$5:$B$34,2,FALSE)</f>
        <v>Julie Andrea Cheung</v>
      </c>
      <c r="C12" s="97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26</v>
      </c>
      <c r="B13" s="214" t="str">
        <f>VLOOKUP(A13,RYTTERDATA!$A$5:$B$34,2,FALSE)</f>
        <v>Kirstine Haugaard UDEBLEVET</v>
      </c>
      <c r="C13" s="97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UDEBLEVET</v>
      </c>
      <c r="C14" s="97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27</v>
      </c>
      <c r="B15" s="214" t="str">
        <f>VLOOKUP(A15,RYTTERDATA!$A$5:$B$34,2,FALSE)</f>
        <v>Pernille Skov Sørensen</v>
      </c>
      <c r="C15" s="97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28</v>
      </c>
      <c r="B16" s="214" t="str">
        <f>VLOOKUP(A16,RYTTERDATA!$A$5:$B$34,2,FALSE)</f>
        <v>Aliena Marie Damgaard Svendsen</v>
      </c>
      <c r="C16" s="97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51</v>
      </c>
      <c r="B17" s="214" t="str">
        <f>VLOOKUP(A17,RYTTERDATA!$A$5:$B$34,2,FALSE)</f>
        <v>Elisabeth Sørensen</v>
      </c>
      <c r="C17" s="97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C16" sqref="C16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0" t="s">
        <v>185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>
        <v>4.43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2"/>
      <c r="C3" s="302"/>
      <c r="D3" s="302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2"/>
      <c r="C4" s="302"/>
      <c r="D4" s="302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2" t="s">
        <v>7</v>
      </c>
      <c r="C5" s="302"/>
      <c r="D5" s="302"/>
      <c r="E5" s="90">
        <v>5</v>
      </c>
      <c r="F5" s="109"/>
      <c r="G5" s="110">
        <f>E2/E5</f>
        <v>0.8859999999999999</v>
      </c>
      <c r="H5" s="111">
        <f>G5*3600</f>
        <v>3189.5999999999995</v>
      </c>
      <c r="I5" s="227">
        <f>IFERROR(((H5/86400)+J3),"")</f>
        <v>3.691666666666666E-2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34</v>
      </c>
      <c r="I7" s="114">
        <f>ROUNDDOWN(I5*1440,0)/1440</f>
        <v>3.6805555555555557E-2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164</v>
      </c>
      <c r="D8" s="153"/>
      <c r="E8" s="152" t="s">
        <v>164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35</v>
      </c>
      <c r="C9" s="170" t="s">
        <v>66</v>
      </c>
      <c r="D9" s="161"/>
      <c r="E9" s="170" t="s">
        <v>80</v>
      </c>
      <c r="F9" s="160"/>
      <c r="H9" s="95"/>
      <c r="I9" s="303" t="s">
        <v>170</v>
      </c>
      <c r="J9" s="303"/>
      <c r="K9" s="303"/>
      <c r="L9" s="303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103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46" t="s">
        <v>169</v>
      </c>
      <c r="L10" s="226" t="s">
        <v>106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24</v>
      </c>
      <c r="B11" s="214" t="str">
        <f>VLOOKUP(A11,RYTTERDATA!$A$4:$B$34,2,FALSE)</f>
        <v>Zeziliea Larsen</v>
      </c>
      <c r="C11" s="166">
        <v>0.50694444444444442</v>
      </c>
      <c r="D11" s="89">
        <f>C11+$I$7</f>
        <v>0.54374999999999996</v>
      </c>
      <c r="E11" s="97">
        <v>0.54375000000000007</v>
      </c>
      <c r="F11" s="104">
        <f>E11-C11</f>
        <v>3.6805555555555647E-2</v>
      </c>
      <c r="G11" s="105">
        <f>IF($I$7="","",IF(F11&lt;=$I$7,$I$7-F11,F11-$I$7))</f>
        <v>-9.0205620750793969E-17</v>
      </c>
      <c r="H11" s="225">
        <f>ROUNDDOWN(G11*1440,0)</f>
        <v>0</v>
      </c>
      <c r="I11" s="144"/>
      <c r="J11" s="144"/>
      <c r="K11" s="144"/>
      <c r="L11" s="148"/>
      <c r="M11" s="107">
        <f>IF(B11&lt;&gt;0,H11+(I11*30)+(J11*10)+(K11*5)+(L11*50),"")</f>
        <v>0</v>
      </c>
      <c r="N11" s="92"/>
      <c r="O11" s="92"/>
      <c r="P11" s="92"/>
    </row>
    <row r="12" spans="1:16" ht="20.100000000000001" customHeight="1">
      <c r="A12" s="85">
        <f>VLOOKUP(RYTTERDATA!A6,RYTTERDATA!A6,1,FALSE)</f>
        <v>25</v>
      </c>
      <c r="B12" s="214" t="str">
        <f>VLOOKUP(A12,RYTTERDATA!$A$4:$B$34,2,FALSE)</f>
        <v>Julie Andrea Cheung</v>
      </c>
      <c r="C12" s="166">
        <v>0.50694444444444442</v>
      </c>
      <c r="D12" s="89">
        <f t="shared" ref="D12:D40" si="0">C12+$I$7</f>
        <v>0.54374999999999996</v>
      </c>
      <c r="E12" s="97">
        <v>0.54375000000000007</v>
      </c>
      <c r="F12" s="104">
        <f t="shared" ref="F12:F40" si="1">E12-C12</f>
        <v>3.6805555555555647E-2</v>
      </c>
      <c r="G12" s="105">
        <f t="shared" ref="G12:G40" si="2">IF($I$7="","",IF(F12&lt;=$I$7,$I$7-F12,F12-$I$7))</f>
        <v>-9.0205620750793969E-17</v>
      </c>
      <c r="H12" s="225">
        <f t="shared" ref="H12:H40" si="3">ROUNDDOWN(G12*1440,0)</f>
        <v>0</v>
      </c>
      <c r="I12" s="98"/>
      <c r="J12" s="98"/>
      <c r="K12" s="98"/>
      <c r="L12" s="149"/>
      <c r="M12" s="107">
        <f t="shared" ref="M12:M40" si="4">IF(B12&lt;&gt;0,H12+(I12*30)+(J12*10)+(K12*5)+(L12*50),"")</f>
        <v>0</v>
      </c>
      <c r="N12" s="92"/>
      <c r="O12" s="92"/>
      <c r="P12" s="92"/>
    </row>
    <row r="13" spans="1:16" ht="20.100000000000001" customHeight="1">
      <c r="A13" s="85">
        <f>VLOOKUP(RYTTERDATA!A7,RYTTERDATA!A7,1,FALSE)</f>
        <v>26</v>
      </c>
      <c r="B13" s="214" t="str">
        <f>VLOOKUP(A13,RYTTERDATA!$A$4:$B$34,2,FALSE)</f>
        <v>Kirstine Haugaard UDEBLEVET</v>
      </c>
      <c r="C13" s="166"/>
      <c r="D13" s="89">
        <f t="shared" si="0"/>
        <v>3.6805555555555557E-2</v>
      </c>
      <c r="E13" s="97"/>
      <c r="F13" s="104">
        <f t="shared" si="1"/>
        <v>0</v>
      </c>
      <c r="G13" s="105">
        <f t="shared" si="2"/>
        <v>3.6805555555555557E-2</v>
      </c>
      <c r="H13" s="225">
        <f t="shared" si="3"/>
        <v>53</v>
      </c>
      <c r="I13" s="98"/>
      <c r="J13" s="98"/>
      <c r="K13" s="98"/>
      <c r="L13" s="149"/>
      <c r="M13" s="107">
        <f t="shared" si="4"/>
        <v>53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VLOOKUP(A14,RYTTERDATA!$A$4:$B$34,2,FALSE)</f>
        <v>Amanda Jarnsbøll UDEBLEVET</v>
      </c>
      <c r="C14" s="166"/>
      <c r="D14" s="89">
        <f t="shared" si="0"/>
        <v>3.6805555555555557E-2</v>
      </c>
      <c r="E14" s="97"/>
      <c r="F14" s="104">
        <f t="shared" si="1"/>
        <v>0</v>
      </c>
      <c r="G14" s="105">
        <f t="shared" si="2"/>
        <v>3.6805555555555557E-2</v>
      </c>
      <c r="H14" s="225">
        <f t="shared" si="3"/>
        <v>53</v>
      </c>
      <c r="I14" s="98"/>
      <c r="J14" s="98"/>
      <c r="K14" s="98"/>
      <c r="L14" s="149"/>
      <c r="M14" s="107">
        <f t="shared" si="4"/>
        <v>53</v>
      </c>
      <c r="O14" s="213" t="s">
        <v>109</v>
      </c>
      <c r="P14" s="213" t="s">
        <v>110</v>
      </c>
    </row>
    <row r="15" spans="1:16" ht="20.100000000000001" customHeight="1">
      <c r="A15" s="85">
        <f>VLOOKUP(RYTTERDATA!A9,RYTTERDATA!A9,1,FALSE)</f>
        <v>27</v>
      </c>
      <c r="B15" s="214" t="str">
        <f>VLOOKUP(A15,RYTTERDATA!$A$4:$B$34,2,FALSE)</f>
        <v>Pernille Skov Sørensen</v>
      </c>
      <c r="C15" s="166"/>
      <c r="D15" s="89">
        <f t="shared" si="0"/>
        <v>3.6805555555555557E-2</v>
      </c>
      <c r="E15" s="97"/>
      <c r="F15" s="104">
        <f t="shared" si="1"/>
        <v>0</v>
      </c>
      <c r="G15" s="105">
        <f t="shared" si="2"/>
        <v>3.6805555555555557E-2</v>
      </c>
      <c r="H15" s="225">
        <f t="shared" si="3"/>
        <v>53</v>
      </c>
      <c r="I15" s="98"/>
      <c r="J15" s="98"/>
      <c r="K15" s="98"/>
      <c r="L15" s="149"/>
      <c r="M15" s="107">
        <f t="shared" si="4"/>
        <v>53</v>
      </c>
      <c r="O15" s="213" t="s">
        <v>118</v>
      </c>
      <c r="P15" s="213">
        <v>-1</v>
      </c>
    </row>
    <row r="16" spans="1:16" ht="20.100000000000001" customHeight="1">
      <c r="A16" s="85">
        <f>VLOOKUP(RYTTERDATA!A10,RYTTERDATA!A10,1,FALSE)</f>
        <v>28</v>
      </c>
      <c r="B16" s="214" t="str">
        <f>VLOOKUP(A16,RYTTERDATA!$A$4:$B$34,2,FALSE)</f>
        <v>Aliena Marie Damgaard Svendsen</v>
      </c>
      <c r="C16" s="166"/>
      <c r="D16" s="89">
        <f t="shared" si="0"/>
        <v>3.6805555555555557E-2</v>
      </c>
      <c r="E16" s="97"/>
      <c r="F16" s="104">
        <f t="shared" si="1"/>
        <v>0</v>
      </c>
      <c r="G16" s="105">
        <f t="shared" si="2"/>
        <v>3.6805555555555557E-2</v>
      </c>
      <c r="H16" s="225">
        <f t="shared" si="3"/>
        <v>53</v>
      </c>
      <c r="I16" s="98"/>
      <c r="J16" s="98"/>
      <c r="K16" s="98"/>
      <c r="L16" s="149"/>
      <c r="M16" s="107">
        <f t="shared" si="4"/>
        <v>53</v>
      </c>
      <c r="O16" s="243" t="s">
        <v>117</v>
      </c>
      <c r="P16" s="243">
        <v>-1</v>
      </c>
    </row>
    <row r="17" spans="1:16" ht="20.100000000000001" customHeight="1">
      <c r="A17" s="85">
        <f>VLOOKUP(RYTTERDATA!A11,RYTTERDATA!A11,1,FALSE)</f>
        <v>51</v>
      </c>
      <c r="B17" s="214" t="str">
        <f>VLOOKUP(A17,RYTTERDATA!$A$4:$B$34,2,FALSE)</f>
        <v>Elisabeth Sørensen</v>
      </c>
      <c r="C17" s="166"/>
      <c r="D17" s="89">
        <f t="shared" si="0"/>
        <v>3.6805555555555557E-2</v>
      </c>
      <c r="E17" s="97"/>
      <c r="F17" s="104">
        <f t="shared" si="1"/>
        <v>0</v>
      </c>
      <c r="G17" s="105">
        <f t="shared" si="2"/>
        <v>3.6805555555555557E-2</v>
      </c>
      <c r="H17" s="225">
        <f t="shared" si="3"/>
        <v>53</v>
      </c>
      <c r="I17" s="98"/>
      <c r="J17" s="98"/>
      <c r="K17" s="98"/>
      <c r="L17" s="149"/>
      <c r="M17" s="107">
        <f t="shared" si="4"/>
        <v>53</v>
      </c>
      <c r="O17" s="213" t="s">
        <v>119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>
        <f t="shared" si="0"/>
        <v>3.6805555555555557E-2</v>
      </c>
      <c r="E18" s="97"/>
      <c r="F18" s="104">
        <f t="shared" si="1"/>
        <v>0</v>
      </c>
      <c r="G18" s="105">
        <f t="shared" si="2"/>
        <v>3.6805555555555557E-2</v>
      </c>
      <c r="H18" s="225">
        <f t="shared" si="3"/>
        <v>53</v>
      </c>
      <c r="I18" s="99"/>
      <c r="J18" s="99"/>
      <c r="K18" s="98"/>
      <c r="L18" s="149"/>
      <c r="M18" s="107" t="str">
        <f t="shared" si="4"/>
        <v/>
      </c>
      <c r="O18" s="213" t="s">
        <v>120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>
        <f t="shared" si="0"/>
        <v>3.6805555555555557E-2</v>
      </c>
      <c r="E19" s="97"/>
      <c r="F19" s="104">
        <f t="shared" si="1"/>
        <v>0</v>
      </c>
      <c r="G19" s="105">
        <f t="shared" si="2"/>
        <v>3.6805555555555557E-2</v>
      </c>
      <c r="H19" s="225">
        <f t="shared" si="3"/>
        <v>53</v>
      </c>
      <c r="I19" s="99"/>
      <c r="J19" s="99"/>
      <c r="K19" s="98"/>
      <c r="L19" s="149"/>
      <c r="M19" s="107" t="str">
        <f t="shared" si="4"/>
        <v/>
      </c>
      <c r="O19" s="213" t="s">
        <v>121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>
        <f t="shared" si="0"/>
        <v>3.6805555555555557E-2</v>
      </c>
      <c r="E20" s="97"/>
      <c r="F20" s="104">
        <f t="shared" si="1"/>
        <v>0</v>
      </c>
      <c r="G20" s="105">
        <f t="shared" si="2"/>
        <v>3.6805555555555557E-2</v>
      </c>
      <c r="H20" s="225">
        <f t="shared" si="3"/>
        <v>53</v>
      </c>
      <c r="I20" s="99"/>
      <c r="J20" s="99"/>
      <c r="K20" s="98"/>
      <c r="L20" s="149"/>
      <c r="M20" s="107" t="str">
        <f t="shared" si="4"/>
        <v/>
      </c>
      <c r="O20" s="213" t="s">
        <v>111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>
        <f t="shared" si="0"/>
        <v>3.6805555555555557E-2</v>
      </c>
      <c r="E21" s="97"/>
      <c r="F21" s="104">
        <f t="shared" si="1"/>
        <v>0</v>
      </c>
      <c r="G21" s="105">
        <f t="shared" si="2"/>
        <v>3.6805555555555557E-2</v>
      </c>
      <c r="H21" s="225">
        <f t="shared" si="3"/>
        <v>53</v>
      </c>
      <c r="I21" s="99"/>
      <c r="J21" s="99"/>
      <c r="K21" s="98"/>
      <c r="L21" s="149"/>
      <c r="M21" s="107" t="str">
        <f t="shared" si="4"/>
        <v/>
      </c>
      <c r="O21" s="213" t="s">
        <v>112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>
        <f t="shared" si="0"/>
        <v>3.6805555555555557E-2</v>
      </c>
      <c r="E22" s="97"/>
      <c r="F22" s="104">
        <f t="shared" si="1"/>
        <v>0</v>
      </c>
      <c r="G22" s="105">
        <f t="shared" si="2"/>
        <v>3.6805555555555557E-2</v>
      </c>
      <c r="H22" s="225">
        <f t="shared" si="3"/>
        <v>53</v>
      </c>
      <c r="I22" s="99"/>
      <c r="J22" s="99"/>
      <c r="K22" s="98"/>
      <c r="L22" s="149"/>
      <c r="M22" s="107" t="str">
        <f t="shared" si="4"/>
        <v/>
      </c>
      <c r="O22" s="213" t="s">
        <v>113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>
        <f t="shared" si="0"/>
        <v>3.6805555555555557E-2</v>
      </c>
      <c r="E23" s="97"/>
      <c r="F23" s="104">
        <f t="shared" si="1"/>
        <v>0</v>
      </c>
      <c r="G23" s="105">
        <f t="shared" si="2"/>
        <v>3.6805555555555557E-2</v>
      </c>
      <c r="H23" s="225">
        <f t="shared" si="3"/>
        <v>53</v>
      </c>
      <c r="I23" s="99"/>
      <c r="J23" s="99"/>
      <c r="K23" s="98"/>
      <c r="L23" s="149"/>
      <c r="M23" s="107" t="str">
        <f t="shared" si="4"/>
        <v/>
      </c>
      <c r="O23" s="213" t="s">
        <v>114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>
        <f t="shared" si="0"/>
        <v>3.6805555555555557E-2</v>
      </c>
      <c r="E24" s="97"/>
      <c r="F24" s="104">
        <f t="shared" si="1"/>
        <v>0</v>
      </c>
      <c r="G24" s="105">
        <f t="shared" si="2"/>
        <v>3.6805555555555557E-2</v>
      </c>
      <c r="H24" s="225">
        <f t="shared" si="3"/>
        <v>53</v>
      </c>
      <c r="I24" s="99"/>
      <c r="J24" s="99"/>
      <c r="K24" s="98"/>
      <c r="L24" s="149"/>
      <c r="M24" s="107" t="str">
        <f t="shared" si="4"/>
        <v/>
      </c>
      <c r="O24" s="213" t="s">
        <v>115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>
        <f t="shared" si="0"/>
        <v>3.6805555555555557E-2</v>
      </c>
      <c r="E25" s="97"/>
      <c r="F25" s="104">
        <f t="shared" si="1"/>
        <v>0</v>
      </c>
      <c r="G25" s="105">
        <f t="shared" si="2"/>
        <v>3.6805555555555557E-2</v>
      </c>
      <c r="H25" s="225">
        <f t="shared" si="3"/>
        <v>53</v>
      </c>
      <c r="I25" s="99"/>
      <c r="J25" s="99"/>
      <c r="K25" s="98"/>
      <c r="L25" s="149"/>
      <c r="M25" s="107" t="str">
        <f t="shared" si="4"/>
        <v/>
      </c>
      <c r="O25" s="213" t="s">
        <v>116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>
        <f t="shared" si="0"/>
        <v>3.6805555555555557E-2</v>
      </c>
      <c r="E26" s="97"/>
      <c r="F26" s="104">
        <f t="shared" si="1"/>
        <v>0</v>
      </c>
      <c r="G26" s="105">
        <f t="shared" si="2"/>
        <v>3.6805555555555557E-2</v>
      </c>
      <c r="H26" s="225">
        <f t="shared" si="3"/>
        <v>53</v>
      </c>
      <c r="I26" s="99"/>
      <c r="J26" s="99"/>
      <c r="K26" s="98"/>
      <c r="L26" s="149"/>
      <c r="M26" s="107" t="str">
        <f t="shared" si="4"/>
        <v/>
      </c>
      <c r="O26" s="213" t="s">
        <v>122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>
        <f t="shared" si="0"/>
        <v>3.6805555555555557E-2</v>
      </c>
      <c r="E27" s="97"/>
      <c r="F27" s="104">
        <f t="shared" si="1"/>
        <v>0</v>
      </c>
      <c r="G27" s="105">
        <f t="shared" si="2"/>
        <v>3.6805555555555557E-2</v>
      </c>
      <c r="H27" s="225">
        <f t="shared" si="3"/>
        <v>53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>
        <f t="shared" si="0"/>
        <v>3.6805555555555557E-2</v>
      </c>
      <c r="E28" s="97"/>
      <c r="F28" s="104">
        <f>E28-C28</f>
        <v>0</v>
      </c>
      <c r="G28" s="105">
        <f t="shared" si="2"/>
        <v>3.6805555555555557E-2</v>
      </c>
      <c r="H28" s="225">
        <f t="shared" si="3"/>
        <v>53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>
        <f t="shared" si="0"/>
        <v>3.6805555555555557E-2</v>
      </c>
      <c r="E29" s="97"/>
      <c r="F29" s="104">
        <f t="shared" si="1"/>
        <v>0</v>
      </c>
      <c r="G29" s="105">
        <f t="shared" si="2"/>
        <v>3.6805555555555557E-2</v>
      </c>
      <c r="H29" s="225">
        <f t="shared" si="3"/>
        <v>53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>
        <f t="shared" si="0"/>
        <v>3.6805555555555557E-2</v>
      </c>
      <c r="E30" s="97"/>
      <c r="F30" s="104">
        <f t="shared" si="1"/>
        <v>0</v>
      </c>
      <c r="G30" s="105">
        <f t="shared" si="2"/>
        <v>3.6805555555555557E-2</v>
      </c>
      <c r="H30" s="225">
        <f t="shared" si="3"/>
        <v>53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>
        <f t="shared" si="0"/>
        <v>3.6805555555555557E-2</v>
      </c>
      <c r="E31" s="97"/>
      <c r="F31" s="104">
        <f t="shared" si="1"/>
        <v>0</v>
      </c>
      <c r="G31" s="105">
        <f t="shared" si="2"/>
        <v>3.6805555555555557E-2</v>
      </c>
      <c r="H31" s="225">
        <f t="shared" si="3"/>
        <v>53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>
        <f t="shared" si="0"/>
        <v>3.6805555555555557E-2</v>
      </c>
      <c r="E32" s="97"/>
      <c r="F32" s="104">
        <f t="shared" si="1"/>
        <v>0</v>
      </c>
      <c r="G32" s="105">
        <f t="shared" si="2"/>
        <v>3.6805555555555557E-2</v>
      </c>
      <c r="H32" s="225">
        <f t="shared" si="3"/>
        <v>53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>
        <f t="shared" si="0"/>
        <v>3.6805555555555557E-2</v>
      </c>
      <c r="E33" s="97"/>
      <c r="F33" s="104">
        <f t="shared" si="1"/>
        <v>0</v>
      </c>
      <c r="G33" s="105">
        <f t="shared" si="2"/>
        <v>3.6805555555555557E-2</v>
      </c>
      <c r="H33" s="225">
        <f t="shared" si="3"/>
        <v>53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>
        <f t="shared" si="0"/>
        <v>3.6805555555555557E-2</v>
      </c>
      <c r="E34" s="97"/>
      <c r="F34" s="104">
        <f t="shared" si="1"/>
        <v>0</v>
      </c>
      <c r="G34" s="105">
        <f t="shared" si="2"/>
        <v>3.6805555555555557E-2</v>
      </c>
      <c r="H34" s="225">
        <f t="shared" si="3"/>
        <v>53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>
        <f t="shared" si="0"/>
        <v>3.6805555555555557E-2</v>
      </c>
      <c r="E35" s="97"/>
      <c r="F35" s="104">
        <f t="shared" si="1"/>
        <v>0</v>
      </c>
      <c r="G35" s="105">
        <f t="shared" si="2"/>
        <v>3.6805555555555557E-2</v>
      </c>
      <c r="H35" s="225">
        <f t="shared" si="3"/>
        <v>53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>
        <f t="shared" si="0"/>
        <v>3.6805555555555557E-2</v>
      </c>
      <c r="E36" s="97"/>
      <c r="F36" s="104">
        <f t="shared" si="1"/>
        <v>0</v>
      </c>
      <c r="G36" s="105">
        <f t="shared" si="2"/>
        <v>3.6805555555555557E-2</v>
      </c>
      <c r="H36" s="225">
        <f t="shared" si="3"/>
        <v>53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>
        <f t="shared" si="0"/>
        <v>3.6805555555555557E-2</v>
      </c>
      <c r="E37" s="97"/>
      <c r="F37" s="104">
        <f t="shared" si="1"/>
        <v>0</v>
      </c>
      <c r="G37" s="105">
        <f t="shared" si="2"/>
        <v>3.6805555555555557E-2</v>
      </c>
      <c r="H37" s="225">
        <f t="shared" si="3"/>
        <v>53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>
        <f t="shared" si="0"/>
        <v>3.6805555555555557E-2</v>
      </c>
      <c r="E38" s="97"/>
      <c r="F38" s="104">
        <f t="shared" si="1"/>
        <v>0</v>
      </c>
      <c r="G38" s="105">
        <f t="shared" si="2"/>
        <v>3.6805555555555557E-2</v>
      </c>
      <c r="H38" s="225">
        <f t="shared" si="3"/>
        <v>53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>
        <f t="shared" si="0"/>
        <v>3.6805555555555557E-2</v>
      </c>
      <c r="E39" s="97"/>
      <c r="F39" s="104">
        <f t="shared" si="1"/>
        <v>0</v>
      </c>
      <c r="G39" s="105">
        <f t="shared" si="2"/>
        <v>3.6805555555555557E-2</v>
      </c>
      <c r="H39" s="225">
        <f t="shared" si="3"/>
        <v>53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>
        <f t="shared" si="0"/>
        <v>3.6805555555555557E-2</v>
      </c>
      <c r="E40" s="97"/>
      <c r="F40" s="104">
        <f t="shared" si="1"/>
        <v>0</v>
      </c>
      <c r="G40" s="105">
        <f t="shared" si="2"/>
        <v>3.6805555555555557E-2</v>
      </c>
      <c r="H40" s="225">
        <f t="shared" si="3"/>
        <v>53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topLeftCell="B1" workbookViewId="0">
      <selection activeCell="C4" sqref="C4:C11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4" t="s">
        <v>77</v>
      </c>
      <c r="B1" s="305"/>
      <c r="C1" s="305"/>
      <c r="D1" s="305"/>
      <c r="E1" s="305"/>
      <c r="F1" s="305"/>
      <c r="G1" s="305"/>
      <c r="H1" s="305"/>
      <c r="I1" s="306"/>
      <c r="J1" s="21"/>
      <c r="K1" s="307"/>
      <c r="L1" s="307"/>
      <c r="M1" s="307"/>
      <c r="N1" s="307"/>
      <c r="O1" s="307"/>
      <c r="P1" s="307"/>
      <c r="Q1" s="307"/>
      <c r="R1" s="307"/>
      <c r="S1" s="307"/>
      <c r="T1" s="307"/>
    </row>
    <row r="2" spans="1:20" ht="21.75" customHeight="1">
      <c r="A2" s="21"/>
      <c r="B2" s="22" t="s">
        <v>76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 t="s">
        <v>183</v>
      </c>
      <c r="D3" s="157" t="s">
        <v>184</v>
      </c>
      <c r="E3" s="157" t="s">
        <v>75</v>
      </c>
      <c r="F3" s="157" t="s">
        <v>75</v>
      </c>
      <c r="G3" s="159" t="s">
        <v>79</v>
      </c>
      <c r="H3" s="158" t="s">
        <v>78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24</v>
      </c>
      <c r="B4" s="216" t="str">
        <f>VLOOKUP(A4,RYTTERDATA!$A$5:$B$34,2,FALSE)</f>
        <v>Zeziliea Larsen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25</v>
      </c>
      <c r="B5" s="216" t="str">
        <f>VLOOKUP(A5,RYTTERDATA!$A$5:$B$34,2,FALSE)</f>
        <v>Julie Andrea Cheung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26</v>
      </c>
      <c r="B6" s="216" t="str">
        <f>VLOOKUP(A6,RYTTERDATA!$A$5:$B$34,2,FALSE)</f>
        <v>Kirstine Haugaard UDEBLEVET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22</v>
      </c>
      <c r="B7" s="216" t="str">
        <f>VLOOKUP(A7,RYTTERDATA!$A$5:$B$34,2,FALSE)</f>
        <v>Amanda Jarnsbøll UDEBLEVET</v>
      </c>
      <c r="C7" s="54"/>
      <c r="D7" s="55"/>
      <c r="E7" s="54"/>
      <c r="F7" s="54"/>
      <c r="G7" s="54"/>
      <c r="H7" s="116"/>
      <c r="I7" s="19">
        <f t="shared" si="0"/>
        <v>0</v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27</v>
      </c>
      <c r="B8" s="216" t="str">
        <f>VLOOKUP(A8,RYTTERDATA!$A$5:$B$34,2,FALSE)</f>
        <v>Pernille Skov Sørensen</v>
      </c>
      <c r="C8" s="54"/>
      <c r="D8" s="55"/>
      <c r="E8" s="54"/>
      <c r="F8" s="54"/>
      <c r="G8" s="54"/>
      <c r="H8" s="116"/>
      <c r="I8" s="19">
        <f t="shared" si="0"/>
        <v>0</v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28</v>
      </c>
      <c r="B9" s="216" t="str">
        <f>VLOOKUP(A9,RYTTERDATA!$A$5:$B$34,2,FALSE)</f>
        <v>Aliena Marie Damgaard Svendsen</v>
      </c>
      <c r="C9" s="54"/>
      <c r="D9" s="55"/>
      <c r="E9" s="54"/>
      <c r="F9" s="54"/>
      <c r="G9" s="54"/>
      <c r="H9" s="116"/>
      <c r="I9" s="19">
        <f t="shared" si="0"/>
        <v>0</v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51</v>
      </c>
      <c r="B10" s="216" t="str">
        <f>VLOOKUP(A10,RYTTERDATA!$A$5:$B$34,2,FALSE)</f>
        <v>Elisabeth Sørensen</v>
      </c>
      <c r="C10" s="54"/>
      <c r="D10" s="55"/>
      <c r="E10" s="54"/>
      <c r="F10" s="54"/>
      <c r="G10" s="54"/>
      <c r="H10" s="116"/>
      <c r="I10" s="19">
        <f t="shared" si="0"/>
        <v>0</v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173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93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87</v>
      </c>
      <c r="D4" s="88" t="s">
        <v>88</v>
      </c>
      <c r="E4" s="96" t="s">
        <v>92</v>
      </c>
      <c r="F4" s="88" t="s">
        <v>89</v>
      </c>
      <c r="G4" s="156" t="s">
        <v>90</v>
      </c>
      <c r="H4" s="88" t="s">
        <v>30</v>
      </c>
      <c r="I4" s="96" t="s">
        <v>91</v>
      </c>
      <c r="J4" s="103" t="s">
        <v>4</v>
      </c>
      <c r="K4" s="103" t="s">
        <v>9</v>
      </c>
      <c r="L4" s="142" t="s">
        <v>25</v>
      </c>
      <c r="M4" s="106" t="s">
        <v>86</v>
      </c>
    </row>
    <row r="5" spans="1:16" ht="20.100000000000001" customHeight="1">
      <c r="A5" s="85">
        <f>VLOOKUP(RYTTERDATA!A5,RYTTERDATA!A5,1,FALSE)</f>
        <v>24</v>
      </c>
      <c r="B5" s="214" t="str">
        <f>VLOOKUP(A5,RYTTERDATA!$A$5:$B$34,2,FALSE)</f>
        <v>Zeziliea Larsen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25</v>
      </c>
      <c r="B6" s="214" t="str">
        <f>VLOOKUP(A6,RYTTERDATA!$A$5:$B$34,2,FALSE)</f>
        <v>Julie Andrea Cheung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26</v>
      </c>
      <c r="B7" s="214" t="str">
        <f>VLOOKUP(A7,RYTTERDATA!$A$5:$B$34,2,FALSE)</f>
        <v>Kirstine Haugaard UDEBLEVET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44</v>
      </c>
    </row>
    <row r="8" spans="1:16" ht="20.100000000000001" customHeight="1">
      <c r="A8" s="85">
        <f>VLOOKUP(RYTTERDATA!A8,RYTTERDATA!A8,1,FALSE)</f>
        <v>22</v>
      </c>
      <c r="B8" s="214" t="str">
        <f>VLOOKUP(A8,RYTTERDATA!$A$5:$B$34,2,FALSE)</f>
        <v>Amanda Jarnsbøll UDEBLEVET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>
        <f t="shared" si="0"/>
        <v>0</v>
      </c>
    </row>
    <row r="9" spans="1:16" ht="20.100000000000001" customHeight="1">
      <c r="A9" s="85">
        <f>VLOOKUP(RYTTERDATA!A9,RYTTERDATA!A9,1,FALSE)</f>
        <v>27</v>
      </c>
      <c r="B9" s="214" t="str">
        <f>VLOOKUP(A9,RYTTERDATA!$A$5:$B$34,2,FALSE)</f>
        <v>Pernille Skov Sørensen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>
        <f t="shared" si="0"/>
        <v>0</v>
      </c>
    </row>
    <row r="10" spans="1:16" ht="20.100000000000001" customHeight="1">
      <c r="A10" s="85">
        <f>VLOOKUP(RYTTERDATA!A10,RYTTERDATA!A10,1,FALSE)</f>
        <v>28</v>
      </c>
      <c r="B10" s="214" t="str">
        <f>VLOOKUP(A10,RYTTERDATA!$A$5:$B$34,2,FALSE)</f>
        <v>Aliena Marie Damgaard Svendsen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>
        <f t="shared" si="0"/>
        <v>0</v>
      </c>
      <c r="P10" s="141"/>
    </row>
    <row r="11" spans="1:16" ht="20.100000000000001" customHeight="1">
      <c r="A11" s="85">
        <f>VLOOKUP(RYTTERDATA!A11,RYTTERDATA!A11,1,FALSE)</f>
        <v>51</v>
      </c>
      <c r="B11" s="214" t="str">
        <f>VLOOKUP(A11,RYTTERDATA!$A$5:$B$34,2,FALSE)</f>
        <v>Elisabeth Sørensen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>
        <f t="shared" si="0"/>
        <v>0</v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2 Udreg.</vt:lpstr>
      <vt:lpstr>Etape 3 Udreg. </vt:lpstr>
      <vt:lpstr>Etape 4 Udreg. </vt:lpstr>
      <vt:lpstr>Etape 5 Udreg. </vt:lpstr>
      <vt:lpstr>Etape 6 Udreg. </vt:lpstr>
      <vt:lpstr>Etape 1 Udreg.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2018-11-18T11:24:24Z</cp:lastPrinted>
  <dcterms:created xsi:type="dcterms:W3CDTF">2014-05-28T05:30:18Z</dcterms:created>
  <dcterms:modified xsi:type="dcterms:W3CDTF">2018-11-18T11:25:19Z</dcterms:modified>
</cp:coreProperties>
</file>